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4ca1d963a7df93/Outils/"/>
    </mc:Choice>
  </mc:AlternateContent>
  <xr:revisionPtr revIDLastSave="0" documentId="8_{0A680864-3E8D-481A-A27F-A0EF9E06223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Crist +  drying" sheetId="4" r:id="rId1"/>
    <sheet name="+ Post crist" sheetId="5" r:id="rId2"/>
    <sheet name="Lactose" sheetId="6" r:id="rId3"/>
  </sheets>
  <definedNames>
    <definedName name="_xlnm.Print_Area" localSheetId="1">'+ Post crist'!$B$2:$AF$73</definedName>
    <definedName name="_xlnm.Print_Area" localSheetId="0">'Crist +  drying'!$B$2:$R$92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5" l="1"/>
  <c r="Q19" i="5"/>
  <c r="Q22" i="5" s="1"/>
  <c r="Q23" i="5" l="1"/>
  <c r="AE10" i="5"/>
  <c r="X19" i="5"/>
  <c r="J19" i="5"/>
  <c r="J22" i="5" s="1"/>
  <c r="E8" i="5"/>
  <c r="F20" i="5" s="1"/>
  <c r="X18" i="5"/>
  <c r="X16" i="5"/>
  <c r="X17" i="5"/>
  <c r="X15" i="5"/>
  <c r="J15" i="5"/>
  <c r="Q15" i="5" s="1"/>
  <c r="F18" i="5"/>
  <c r="J18" i="5" s="1"/>
  <c r="J17" i="5"/>
  <c r="J16" i="5"/>
  <c r="T15" i="4"/>
  <c r="T14" i="4"/>
  <c r="Q10" i="4"/>
  <c r="F24" i="4"/>
  <c r="AE16" i="5" l="1"/>
  <c r="AH16" i="5" s="1"/>
  <c r="Q16" i="5"/>
  <c r="AE17" i="5"/>
  <c r="Q17" i="5"/>
  <c r="AE18" i="5"/>
  <c r="Q18" i="5"/>
  <c r="X22" i="5"/>
  <c r="AE22" i="5" s="1"/>
  <c r="X10" i="5"/>
  <c r="X8" i="5" s="1"/>
  <c r="X20" i="5" s="1"/>
  <c r="U22" i="5"/>
  <c r="U23" i="5" s="1"/>
  <c r="J10" i="5"/>
  <c r="AE19" i="5"/>
  <c r="F27" i="5"/>
  <c r="AE15" i="5"/>
  <c r="E8" i="4"/>
  <c r="F19" i="4" s="1"/>
  <c r="J14" i="4"/>
  <c r="Q14" i="4" s="1"/>
  <c r="J15" i="4"/>
  <c r="Q15" i="4" s="1"/>
  <c r="J16" i="4"/>
  <c r="Q16" i="4" s="1"/>
  <c r="F17" i="4"/>
  <c r="J17" i="4" s="1"/>
  <c r="J18" i="4"/>
  <c r="Q18" i="4" s="1"/>
  <c r="G39" i="4"/>
  <c r="L39" i="4"/>
  <c r="Q10" i="5" l="1"/>
  <c r="Q8" i="5" s="1"/>
  <c r="Q20" i="5" s="1"/>
  <c r="AE20" i="5"/>
  <c r="X23" i="5"/>
  <c r="X25" i="5" s="1"/>
  <c r="J23" i="5"/>
  <c r="AH15" i="5"/>
  <c r="Q19" i="4"/>
  <c r="F41" i="4"/>
  <c r="J21" i="4"/>
  <c r="J22" i="4" s="1"/>
  <c r="F26" i="4"/>
  <c r="Q17" i="4"/>
  <c r="J10" i="4"/>
  <c r="J20" i="5" l="1"/>
  <c r="J8" i="5" s="1"/>
  <c r="J9" i="5" s="1"/>
  <c r="S27" i="5"/>
  <c r="Q27" i="5"/>
  <c r="N22" i="5"/>
  <c r="N23" i="5" s="1"/>
  <c r="Q25" i="5"/>
  <c r="Q28" i="5" s="1"/>
  <c r="Z27" i="5"/>
  <c r="X27" i="5"/>
  <c r="X28" i="5"/>
  <c r="AH20" i="5"/>
  <c r="AH19" i="5" s="1"/>
  <c r="AE23" i="5"/>
  <c r="AE25" i="5" s="1"/>
  <c r="AE28" i="5" s="1"/>
  <c r="AB22" i="5"/>
  <c r="AB23" i="5" s="1"/>
  <c r="J25" i="5"/>
  <c r="T19" i="4"/>
  <c r="T18" i="4" s="1"/>
  <c r="Q21" i="4"/>
  <c r="J27" i="5" l="1"/>
  <c r="AB27" i="5"/>
  <c r="AE27" i="5"/>
  <c r="AE9" i="5" s="1"/>
  <c r="Q22" i="4"/>
  <c r="Q24" i="4" s="1"/>
  <c r="J19" i="4"/>
  <c r="J24" i="4"/>
  <c r="N21" i="4"/>
  <c r="N22" i="4" s="1"/>
  <c r="Q27" i="4" l="1"/>
  <c r="J8" i="4"/>
  <c r="J9" i="4" s="1"/>
  <c r="J26" i="4"/>
  <c r="Q26" i="4"/>
  <c r="Q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Gilles VALOT</author>
  </authors>
  <commentList>
    <comment ref="AB27" authorId="0" shapeId="0" xr:uid="{3B0C4394-92C0-435B-BDFF-B04F94E9EBA5}">
      <text>
        <r>
          <rPr>
            <b/>
            <sz val="9"/>
            <color indexed="81"/>
            <rFont val="Tahoma"/>
            <family val="2"/>
          </rPr>
          <t>Gilles VALOT:</t>
        </r>
        <r>
          <rPr>
            <sz val="9"/>
            <color indexed="81"/>
            <rFont val="Tahoma"/>
            <family val="2"/>
          </rPr>
          <t xml:space="preserve">
à ajuster avec DM en X9,
pour égalité avec S26, il y a juste un transfert d'eau entre la phase amorphe et cristallisée.</t>
        </r>
      </text>
    </comment>
  </commentList>
</comments>
</file>

<file path=xl/sharedStrings.xml><?xml version="1.0" encoding="utf-8"?>
<sst xmlns="http://schemas.openxmlformats.org/spreadsheetml/2006/main" count="226" uniqueCount="94">
  <si>
    <t>not crystallized, and compare with a lab analysis of the same sample.</t>
  </si>
  <si>
    <t xml:space="preserve">it is sufficient to control the refractometer, mesuring a pre-concentrated whey, </t>
  </si>
  <si>
    <t>NB : it is necessary to find the refractometer correction factor for the whey,</t>
  </si>
  <si>
    <t>% crystallized lactose</t>
  </si>
  <si>
    <t>Result :</t>
  </si>
  <si>
    <t xml:space="preserve"> -</t>
  </si>
  <si>
    <t>X</t>
  </si>
  <si>
    <t>Lactose in concentrate (%) :</t>
  </si>
  <si>
    <t xml:space="preserve">  ( 95 - ES 2 )</t>
  </si>
  <si>
    <t>lactose = ES 1 X L</t>
  </si>
  <si>
    <t>ES 2</t>
  </si>
  <si>
    <t>ES 1</t>
  </si>
  <si>
    <t>Refracto outlet evaporator (%) :</t>
  </si>
  <si>
    <t>Lactose content in DM - % :</t>
  </si>
  <si>
    <t>Crystallization rate : refractometric method</t>
  </si>
  <si>
    <t>L/E - %</t>
  </si>
  <si>
    <t>1 mol lactose + 1 mol H2O</t>
  </si>
  <si>
    <t>Crystallization water - %</t>
  </si>
  <si>
    <t>Crystallization water - g</t>
  </si>
  <si>
    <t>Total solids - g</t>
  </si>
  <si>
    <t>Crystallised lactose - g</t>
  </si>
  <si>
    <t>Water - g</t>
  </si>
  <si>
    <t>amorphous lactose</t>
  </si>
  <si>
    <t>Lactose - g</t>
  </si>
  <si>
    <t>Various - g</t>
  </si>
  <si>
    <t>Fat - g</t>
  </si>
  <si>
    <t>Minerals - g</t>
  </si>
  <si>
    <t>Proteins - g</t>
  </si>
  <si>
    <t>Dry matter - g</t>
  </si>
  <si>
    <t>Dry matter - %</t>
  </si>
  <si>
    <t>Concentrate - g</t>
  </si>
  <si>
    <t>Crystallization - %</t>
  </si>
  <si>
    <t>Total Powder - g</t>
  </si>
  <si>
    <t>Total DM - g</t>
  </si>
  <si>
    <t>Total moisture KF - %</t>
  </si>
  <si>
    <t>Amorphous Lactose - g</t>
  </si>
  <si>
    <t>non crystallisated DM - %</t>
  </si>
  <si>
    <t>Etuve 2h00 à 102°C + dissécateur</t>
  </si>
  <si>
    <t xml:space="preserve">Composition : </t>
  </si>
  <si>
    <t>without crystals</t>
  </si>
  <si>
    <t>Méthode Karl Fisher</t>
  </si>
  <si>
    <t>(consigne opérateur de séchage)</t>
  </si>
  <si>
    <t>IR at the end of crystallization</t>
  </si>
  <si>
    <t>Moisture on non fat,</t>
  </si>
  <si>
    <t>Content after evaporator :</t>
  </si>
  <si>
    <t>Content at the end of crystallization :</t>
  </si>
  <si>
    <t>Content at the end of drying - aw &lt; 0,2 :</t>
  </si>
  <si>
    <t>NB : keep the concentration below 45% during filling, a little below the température of flash-cooler, then cool quickly at the end of concentration.</t>
  </si>
  <si>
    <t>Enter data in the yellow cells</t>
  </si>
  <si>
    <t>Free moisture - % powder</t>
  </si>
  <si>
    <t>Data excluding production loss</t>
  </si>
  <si>
    <t>at 20°C</t>
  </si>
  <si>
    <t>L/E before cooling down - %</t>
  </si>
  <si>
    <t>Total potential powder - g</t>
  </si>
  <si>
    <t>Product :</t>
  </si>
  <si>
    <t>Whey PPNC-PPC</t>
  </si>
  <si>
    <t>maximum</t>
  </si>
  <si>
    <t>with safe of - 0,5% and aw &lt; = 0,2.</t>
  </si>
  <si>
    <t>Reco. Moisture for milk products: 5% / non fat and non crystallisated DM,</t>
  </si>
  <si>
    <t xml:space="preserve">Refracto. end crystallization % : </t>
  </si>
  <si>
    <t>% water</t>
  </si>
  <si>
    <t>g water amorphous lactose</t>
  </si>
  <si>
    <t>!!! Ne pas dépasser 3,1%</t>
  </si>
  <si>
    <t>g water proteins</t>
  </si>
  <si>
    <t>g water minerals</t>
  </si>
  <si>
    <t xml:space="preserve">Content at the end of drying out VF- aw &lt; 0,2 </t>
  </si>
  <si>
    <t xml:space="preserve">Content after evaporator </t>
  </si>
  <si>
    <t>Total moisture %</t>
  </si>
  <si>
    <t>estimate DM without crystals</t>
  </si>
  <si>
    <t>before VF</t>
  </si>
  <si>
    <t xml:space="preserve">Lait cristallisé </t>
  </si>
  <si>
    <t>Séchage avec post cristallisation</t>
  </si>
  <si>
    <t>Ensemencement en cristaux micronisés 2µ</t>
  </si>
  <si>
    <t>Refroidissement &lt; 40°C</t>
  </si>
  <si>
    <t>cristallisation 5h</t>
  </si>
  <si>
    <t>Estimate first step of drying</t>
  </si>
  <si>
    <t>before belt</t>
  </si>
  <si>
    <t>g</t>
  </si>
  <si>
    <t xml:space="preserve">Content at the end of pré-crystallization </t>
  </si>
  <si>
    <t>Content at the post-cristallization step, end of the belt process aw &gt; 0,37</t>
  </si>
  <si>
    <t>Theorical evolution of the composition of the whey, during evaporation, crystallization and drying</t>
  </si>
  <si>
    <t>Content at the first step, out of the Tall Form dryer</t>
  </si>
  <si>
    <t>Crystallization &gt; - %</t>
  </si>
  <si>
    <t>minimum, maxi 95%</t>
  </si>
  <si>
    <t>TS = 55 - 58 °C</t>
  </si>
  <si>
    <t>HR % out Tall Form</t>
  </si>
  <si>
    <t>TS = 70 - 80°C</t>
  </si>
  <si>
    <t>HR % out VF 15 - 20 %</t>
  </si>
  <si>
    <t>37 - 48 %</t>
  </si>
  <si>
    <t>Final T°C</t>
  </si>
  <si>
    <t>proche du point de rosée !!!</t>
  </si>
  <si>
    <t>Theorical evolution of the composition of the whey, during evaporation, crystallization, post-cistallization and drying</t>
  </si>
  <si>
    <t>Voir bloquage de la lysine &gt; indicateur de l'état d'avancement de la réaction de Maillard</t>
  </si>
  <si>
    <t>voir plan en bas de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</si>
</sst>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&quot; )&quot;"/>
    <numFmt numFmtId="166" formatCode="#,##0.0"/>
    <numFmt numFmtId="167" formatCode="&quot;( &quot;0.0"/>
    <numFmt numFmtId="168" formatCode="#,##0.00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rgb="FFFF0000"/>
      <name val="Calibri"/>
      <family val="2"/>
    </font>
    <font>
      <b/>
      <sz val="11"/>
      <color indexed="8"/>
      <name val="Calibri"/>
      <family val="2"/>
    </font>
    <font>
      <b/>
      <sz val="14"/>
      <color indexed="10"/>
      <name val="Calibri"/>
      <family val="2"/>
    </font>
    <font>
      <sz val="11"/>
      <color indexed="12"/>
      <name val="Calibri"/>
      <family val="2"/>
    </font>
    <font>
      <b/>
      <sz val="11"/>
      <color indexed="12"/>
      <name val="Calibri"/>
      <family val="2"/>
    </font>
    <font>
      <b/>
      <sz val="11"/>
      <color rgb="FF0000FF"/>
      <name val="Calibri"/>
      <family val="2"/>
    </font>
    <font>
      <b/>
      <sz val="14"/>
      <color rgb="FF0000FF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48"/>
      </right>
      <top style="thin">
        <color indexed="48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64" fontId="4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5" fontId="5" fillId="0" borderId="6" xfId="0" applyNumberFormat="1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2" fontId="5" fillId="0" borderId="6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hidden="1"/>
    </xf>
    <xf numFmtId="0" fontId="7" fillId="0" borderId="10" xfId="0" applyFont="1" applyBorder="1" applyAlignment="1" applyProtection="1">
      <alignment horizontal="centerContinuous" vertical="center"/>
      <protection hidden="1"/>
    </xf>
    <xf numFmtId="0" fontId="7" fillId="0" borderId="11" xfId="0" applyFont="1" applyBorder="1" applyAlignment="1" applyProtection="1">
      <alignment horizontal="centerContinuous" vertical="center"/>
      <protection hidden="1"/>
    </xf>
    <xf numFmtId="0" fontId="8" fillId="0" borderId="12" xfId="0" applyFont="1" applyBorder="1" applyAlignment="1" applyProtection="1">
      <alignment horizontal="centerContinuous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4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right" vertical="center"/>
    </xf>
    <xf numFmtId="0" fontId="9" fillId="0" borderId="0" xfId="0" applyFont="1" applyProtection="1">
      <protection hidden="1"/>
    </xf>
    <xf numFmtId="0" fontId="3" fillId="0" borderId="15" xfId="0" applyFont="1" applyBorder="1" applyProtection="1">
      <protection hidden="1"/>
    </xf>
    <xf numFmtId="0" fontId="3" fillId="0" borderId="14" xfId="0" applyFont="1" applyBorder="1" applyProtection="1">
      <protection hidden="1"/>
    </xf>
    <xf numFmtId="3" fontId="1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3" fontId="0" fillId="0" borderId="5" xfId="0" applyNumberForma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0" fillId="0" borderId="4" xfId="0" applyBorder="1"/>
    <xf numFmtId="3" fontId="0" fillId="0" borderId="0" xfId="0" applyNumberFormat="1"/>
    <xf numFmtId="3" fontId="14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right"/>
    </xf>
    <xf numFmtId="3" fontId="0" fillId="0" borderId="5" xfId="0" applyNumberFormat="1" applyBorder="1"/>
    <xf numFmtId="3" fontId="14" fillId="0" borderId="0" xfId="0" applyNumberFormat="1" applyFont="1" applyAlignment="1">
      <alignment horizontal="right"/>
    </xf>
    <xf numFmtId="0" fontId="0" fillId="0" borderId="15" xfId="0" applyBorder="1"/>
    <xf numFmtId="0" fontId="0" fillId="0" borderId="14" xfId="0" applyBorder="1"/>
    <xf numFmtId="3" fontId="0" fillId="0" borderId="14" xfId="0" applyNumberFormat="1" applyBorder="1"/>
    <xf numFmtId="3" fontId="11" fillId="0" borderId="2" xfId="0" applyNumberFormat="1" applyFont="1" applyBorder="1" applyAlignment="1">
      <alignment vertical="center"/>
    </xf>
    <xf numFmtId="3" fontId="0" fillId="0" borderId="16" xfId="0" applyNumberFormat="1" applyBorder="1"/>
    <xf numFmtId="3" fontId="0" fillId="0" borderId="3" xfId="0" applyNumberFormat="1" applyBorder="1" applyAlignment="1">
      <alignment vertical="center"/>
    </xf>
    <xf numFmtId="0" fontId="10" fillId="0" borderId="0" xfId="0" applyFont="1" applyProtection="1">
      <protection hidden="1"/>
    </xf>
    <xf numFmtId="3" fontId="0" fillId="0" borderId="16" xfId="0" applyNumberForma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2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 vertical="center"/>
    </xf>
    <xf numFmtId="166" fontId="0" fillId="2" borderId="0" xfId="0" applyNumberFormat="1" applyFill="1" applyAlignment="1">
      <alignment horizontal="left" vertical="center"/>
    </xf>
    <xf numFmtId="3" fontId="0" fillId="2" borderId="0" xfId="0" applyNumberFormat="1" applyFill="1" applyAlignment="1">
      <alignment horizontal="right" vertical="center"/>
    </xf>
    <xf numFmtId="3" fontId="1" fillId="0" borderId="0" xfId="0" applyNumberFormat="1" applyFont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3" fontId="13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2" fontId="1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2" fontId="11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4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0" fillId="0" borderId="18" xfId="0" applyNumberFormat="1" applyBorder="1"/>
    <xf numFmtId="0" fontId="0" fillId="0" borderId="18" xfId="0" applyBorder="1"/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12" fillId="0" borderId="20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0" fillId="0" borderId="20" xfId="0" applyNumberFormat="1" applyBorder="1" applyAlignment="1">
      <alignment vertical="center"/>
    </xf>
    <xf numFmtId="3" fontId="14" fillId="0" borderId="18" xfId="0" applyNumberFormat="1" applyFont="1" applyBorder="1" applyAlignment="1">
      <alignment horizontal="right"/>
    </xf>
    <xf numFmtId="3" fontId="0" fillId="0" borderId="21" xfId="0" applyNumberFormat="1" applyBorder="1" applyAlignment="1">
      <alignment horizontal="center" vertical="center"/>
    </xf>
    <xf numFmtId="3" fontId="15" fillId="0" borderId="18" xfId="0" applyNumberFormat="1" applyFont="1" applyBorder="1" applyAlignment="1">
      <alignment horizontal="left"/>
    </xf>
    <xf numFmtId="0" fontId="0" fillId="0" borderId="23" xfId="0" applyBorder="1"/>
    <xf numFmtId="3" fontId="14" fillId="0" borderId="22" xfId="0" applyNumberFormat="1" applyFont="1" applyBorder="1" applyAlignment="1">
      <alignment horizontal="right"/>
    </xf>
    <xf numFmtId="3" fontId="0" fillId="0" borderId="22" xfId="0" applyNumberFormat="1" applyBorder="1"/>
    <xf numFmtId="3" fontId="0" fillId="0" borderId="22" xfId="0" applyNumberFormat="1" applyBorder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3" fontId="12" fillId="0" borderId="22" xfId="0" applyNumberFormat="1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3" fontId="0" fillId="0" borderId="22" xfId="0" applyNumberFormat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17" xfId="0" applyNumberFormat="1" applyBorder="1" applyAlignment="1">
      <alignment horizontal="left"/>
    </xf>
    <xf numFmtId="2" fontId="5" fillId="0" borderId="0" xfId="0" applyNumberFormat="1" applyFont="1" applyAlignment="1" applyProtection="1">
      <alignment horizontal="center" vertical="center"/>
      <protection hidden="1"/>
    </xf>
    <xf numFmtId="3" fontId="1" fillId="0" borderId="2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3" fontId="0" fillId="2" borderId="0" xfId="0" applyNumberFormat="1" applyFill="1" applyAlignment="1">
      <alignment horizontal="left" vertical="center"/>
    </xf>
    <xf numFmtId="3" fontId="15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hidden="1"/>
    </xf>
    <xf numFmtId="3" fontId="1" fillId="0" borderId="0" xfId="0" applyNumberFormat="1" applyFont="1"/>
    <xf numFmtId="3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0" xfId="0" applyFill="1"/>
    <xf numFmtId="3" fontId="15" fillId="2" borderId="0" xfId="0" applyNumberFormat="1" applyFont="1" applyFill="1" applyAlignment="1">
      <alignment horizontal="right"/>
    </xf>
    <xf numFmtId="0" fontId="5" fillId="0" borderId="0" xfId="0" applyFont="1" applyAlignment="1" applyProtection="1">
      <alignment horizontal="right"/>
      <protection hidden="1"/>
    </xf>
    <xf numFmtId="1" fontId="0" fillId="0" borderId="0" xfId="0" applyNumberFormat="1" applyAlignment="1">
      <alignment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horizontal="left" vertical="center"/>
    </xf>
    <xf numFmtId="167" fontId="5" fillId="0" borderId="8" xfId="0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right"/>
    </xf>
    <xf numFmtId="1" fontId="0" fillId="0" borderId="0" xfId="0" applyNumberFormat="1"/>
    <xf numFmtId="168" fontId="0" fillId="0" borderId="0" xfId="0" applyNumberFormat="1"/>
    <xf numFmtId="0" fontId="14" fillId="0" borderId="0" xfId="0" applyFont="1" applyAlignment="1">
      <alignment horizontal="right"/>
    </xf>
    <xf numFmtId="166" fontId="11" fillId="0" borderId="0" xfId="0" applyNumberFormat="1" applyFont="1" applyAlignment="1">
      <alignment vertical="center"/>
    </xf>
    <xf numFmtId="3" fontId="0" fillId="0" borderId="5" xfId="0" applyNumberForma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3" fontId="0" fillId="0" borderId="4" xfId="0" applyNumberFormat="1" applyBorder="1"/>
    <xf numFmtId="0" fontId="14" fillId="0" borderId="4" xfId="0" applyFont="1" applyBorder="1" applyAlignment="1">
      <alignment horizontal="right"/>
    </xf>
    <xf numFmtId="3" fontId="1" fillId="0" borderId="4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15" fillId="0" borderId="14" xfId="0" applyNumberFormat="1" applyFont="1" applyBorder="1" applyAlignment="1">
      <alignment horizontal="left"/>
    </xf>
    <xf numFmtId="3" fontId="16" fillId="0" borderId="0" xfId="0" applyNumberFormat="1" applyFont="1" applyAlignment="1">
      <alignment horizontal="left"/>
    </xf>
    <xf numFmtId="0" fontId="14" fillId="0" borderId="14" xfId="0" applyFont="1" applyBorder="1" applyAlignment="1">
      <alignment horizontal="right"/>
    </xf>
    <xf numFmtId="3" fontId="12" fillId="0" borderId="4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14" fillId="0" borderId="15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0" fontId="14" fillId="0" borderId="16" xfId="0" applyFont="1" applyBorder="1" applyAlignment="1">
      <alignment horizontal="right"/>
    </xf>
    <xf numFmtId="0" fontId="14" fillId="0" borderId="15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3" fontId="14" fillId="0" borderId="5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3" fontId="0" fillId="0" borderId="16" xfId="0" applyNumberFormat="1" applyBorder="1" applyAlignment="1">
      <alignment horizontal="left"/>
    </xf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19" fillId="0" borderId="0" xfId="0" applyFont="1"/>
    <xf numFmtId="3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25</xdr:row>
      <xdr:rowOff>209550</xdr:rowOff>
    </xdr:from>
    <xdr:to>
      <xdr:col>2</xdr:col>
      <xdr:colOff>417195</xdr:colOff>
      <xdr:row>27</xdr:row>
      <xdr:rowOff>236220</xdr:rowOff>
    </xdr:to>
    <xdr:pic>
      <xdr:nvPicPr>
        <xdr:cNvPr id="2" name="Picture 5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6191250"/>
          <a:ext cx="541020" cy="5410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52</xdr:row>
      <xdr:rowOff>152399</xdr:rowOff>
    </xdr:from>
    <xdr:to>
      <xdr:col>15</xdr:col>
      <xdr:colOff>1085850</xdr:colOff>
      <xdr:row>90</xdr:row>
      <xdr:rowOff>66674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2B90CA5-57AF-89AF-932B-6AE6A24C9F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647" t="22225" r="34315" b="11748"/>
        <a:stretch/>
      </xdr:blipFill>
      <xdr:spPr>
        <a:xfrm>
          <a:off x="0" y="11649074"/>
          <a:ext cx="9515475" cy="6791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25</xdr:row>
      <xdr:rowOff>144781</xdr:rowOff>
    </xdr:from>
    <xdr:to>
      <xdr:col>2</xdr:col>
      <xdr:colOff>259080</xdr:colOff>
      <xdr:row>27</xdr:row>
      <xdr:rowOff>220981</xdr:rowOff>
    </xdr:to>
    <xdr:pic>
      <xdr:nvPicPr>
        <xdr:cNvPr id="2" name="Picture 57">
          <a:extLst>
            <a:ext uri="{FF2B5EF4-FFF2-40B4-BE49-F238E27FC236}">
              <a16:creationId xmlns:a16="http://schemas.microsoft.com/office/drawing/2014/main" id="{4A1B0842-F695-4748-85B2-2FCDD1EA3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" y="4617721"/>
          <a:ext cx="541020" cy="548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95250</xdr:colOff>
      <xdr:row>30</xdr:row>
      <xdr:rowOff>47624</xdr:rowOff>
    </xdr:from>
    <xdr:to>
      <xdr:col>14</xdr:col>
      <xdr:colOff>161926</xdr:colOff>
      <xdr:row>72</xdr:row>
      <xdr:rowOff>95249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239245E5-E1C8-6E87-07ED-FD1E2143BEA0}"/>
            </a:ext>
          </a:extLst>
        </xdr:cNvPr>
        <xdr:cNvGrpSpPr/>
      </xdr:nvGrpSpPr>
      <xdr:grpSpPr>
        <a:xfrm>
          <a:off x="304800" y="6991349"/>
          <a:ext cx="8286751" cy="7648575"/>
          <a:chOff x="3604282" y="9244544"/>
          <a:chExt cx="8898351" cy="8214781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D41048C5-3B46-BD4F-4EE7-A60868DEDED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7908" t="12965" r="33430" b="7766"/>
          <a:stretch/>
        </xdr:blipFill>
        <xdr:spPr>
          <a:xfrm>
            <a:off x="3604282" y="9244544"/>
            <a:ext cx="8898351" cy="8153400"/>
          </a:xfrm>
          <a:prstGeom prst="rect">
            <a:avLst/>
          </a:prstGeom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A28A54DD-5F96-DA17-E423-6A26D2615D62}"/>
              </a:ext>
            </a:extLst>
          </xdr:cNvPr>
          <xdr:cNvSpPr/>
        </xdr:nvSpPr>
        <xdr:spPr>
          <a:xfrm>
            <a:off x="8216381" y="15678150"/>
            <a:ext cx="4248150" cy="17811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3</xdr:col>
      <xdr:colOff>457200</xdr:colOff>
      <xdr:row>46</xdr:row>
      <xdr:rowOff>19050</xdr:rowOff>
    </xdr:from>
    <xdr:to>
      <xdr:col>3</xdr:col>
      <xdr:colOff>733425</xdr:colOff>
      <xdr:row>47</xdr:row>
      <xdr:rowOff>114300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2F8010A9-1D91-C646-FAC9-59087ECF897C}"/>
            </a:ext>
          </a:extLst>
        </xdr:cNvPr>
        <xdr:cNvSpPr txBox="1"/>
      </xdr:nvSpPr>
      <xdr:spPr>
        <a:xfrm>
          <a:off x="1533525" y="9858375"/>
          <a:ext cx="276225" cy="2762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bg1">
                  <a:lumMod val="95000"/>
                </a:schemeClr>
              </a:solidFill>
            </a:rPr>
            <a:t>1</a:t>
          </a:r>
        </a:p>
      </xdr:txBody>
    </xdr:sp>
    <xdr:clientData/>
  </xdr:twoCellAnchor>
  <xdr:twoCellAnchor>
    <xdr:from>
      <xdr:col>3</xdr:col>
      <xdr:colOff>219075</xdr:colOff>
      <xdr:row>61</xdr:row>
      <xdr:rowOff>114300</xdr:rowOff>
    </xdr:from>
    <xdr:to>
      <xdr:col>3</xdr:col>
      <xdr:colOff>495300</xdr:colOff>
      <xdr:row>63</xdr:row>
      <xdr:rowOff>28575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9711FDB2-5F1D-4A2D-B865-473C1B83F332}"/>
            </a:ext>
          </a:extLst>
        </xdr:cNvPr>
        <xdr:cNvSpPr txBox="1"/>
      </xdr:nvSpPr>
      <xdr:spPr>
        <a:xfrm>
          <a:off x="1295400" y="12668250"/>
          <a:ext cx="276225" cy="2762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bg1">
                  <a:lumMod val="95000"/>
                </a:schemeClr>
              </a:solidFill>
            </a:rPr>
            <a:t>2</a:t>
          </a:r>
        </a:p>
      </xdr:txBody>
    </xdr:sp>
    <xdr:clientData/>
  </xdr:twoCellAnchor>
  <xdr:twoCellAnchor>
    <xdr:from>
      <xdr:col>4</xdr:col>
      <xdr:colOff>762000</xdr:colOff>
      <xdr:row>61</xdr:row>
      <xdr:rowOff>66675</xdr:rowOff>
    </xdr:from>
    <xdr:to>
      <xdr:col>5</xdr:col>
      <xdr:colOff>247650</xdr:colOff>
      <xdr:row>62</xdr:row>
      <xdr:rowOff>161925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79EABA81-0E7F-44FB-AA83-15533C59FA2E}"/>
            </a:ext>
          </a:extLst>
        </xdr:cNvPr>
        <xdr:cNvSpPr txBox="1"/>
      </xdr:nvSpPr>
      <xdr:spPr>
        <a:xfrm>
          <a:off x="2628900" y="12620625"/>
          <a:ext cx="276225" cy="2762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bg1">
                  <a:lumMod val="95000"/>
                </a:schemeClr>
              </a:solidFill>
            </a:rPr>
            <a:t>3</a:t>
          </a:r>
        </a:p>
      </xdr:txBody>
    </xdr:sp>
    <xdr:clientData/>
  </xdr:twoCellAnchor>
  <xdr:twoCellAnchor>
    <xdr:from>
      <xdr:col>7</xdr:col>
      <xdr:colOff>352425</xdr:colOff>
      <xdr:row>65</xdr:row>
      <xdr:rowOff>123825</xdr:rowOff>
    </xdr:from>
    <xdr:to>
      <xdr:col>8</xdr:col>
      <xdr:colOff>228600</xdr:colOff>
      <xdr:row>67</xdr:row>
      <xdr:rowOff>38100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39FE3548-EC13-4A98-95F9-4B8009822B4E}"/>
            </a:ext>
          </a:extLst>
        </xdr:cNvPr>
        <xdr:cNvSpPr txBox="1"/>
      </xdr:nvSpPr>
      <xdr:spPr>
        <a:xfrm>
          <a:off x="3990975" y="13401675"/>
          <a:ext cx="276225" cy="2762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bg1">
                  <a:lumMod val="95000"/>
                </a:schemeClr>
              </a:solidFill>
            </a:rPr>
            <a:t>4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276225</xdr:colOff>
      <xdr:row>5</xdr:row>
      <xdr:rowOff>38100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2CF56C09-C430-45A6-9FF3-26F54BC52762}"/>
            </a:ext>
          </a:extLst>
        </xdr:cNvPr>
        <xdr:cNvSpPr txBox="1"/>
      </xdr:nvSpPr>
      <xdr:spPr>
        <a:xfrm>
          <a:off x="7105650" y="809625"/>
          <a:ext cx="276225" cy="2762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bg1">
                  <a:lumMod val="95000"/>
                </a:schemeClr>
              </a:solidFill>
            </a:rPr>
            <a:t>1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276225</xdr:colOff>
      <xdr:row>5</xdr:row>
      <xdr:rowOff>38100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E6FBB683-4A84-4A80-961D-E3FFC7757CE8}"/>
            </a:ext>
          </a:extLst>
        </xdr:cNvPr>
        <xdr:cNvSpPr txBox="1"/>
      </xdr:nvSpPr>
      <xdr:spPr>
        <a:xfrm>
          <a:off x="12068175" y="809625"/>
          <a:ext cx="276225" cy="2762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bg1">
                  <a:lumMod val="95000"/>
                </a:schemeClr>
              </a:solidFill>
            </a:rPr>
            <a:t>2</a:t>
          </a:r>
        </a:p>
      </xdr:txBody>
    </xdr:sp>
    <xdr:clientData/>
  </xdr:twoCellAnchor>
  <xdr:twoCellAnchor>
    <xdr:from>
      <xdr:col>27</xdr:col>
      <xdr:colOff>323850</xdr:colOff>
      <xdr:row>4</xdr:row>
      <xdr:rowOff>0</xdr:rowOff>
    </xdr:from>
    <xdr:to>
      <xdr:col>28</xdr:col>
      <xdr:colOff>9525</xdr:colOff>
      <xdr:row>5</xdr:row>
      <xdr:rowOff>38100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A99F05BE-C053-4A5B-A1C5-67B38E9F8C75}"/>
            </a:ext>
          </a:extLst>
        </xdr:cNvPr>
        <xdr:cNvSpPr txBox="1"/>
      </xdr:nvSpPr>
      <xdr:spPr>
        <a:xfrm>
          <a:off x="17478375" y="809625"/>
          <a:ext cx="276225" cy="2762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bg1">
                  <a:lumMod val="95000"/>
                </a:schemeClr>
              </a:solidFill>
            </a:rPr>
            <a:t>3</a:t>
          </a:r>
        </a:p>
      </xdr:txBody>
    </xdr:sp>
    <xdr:clientData/>
  </xdr:twoCellAnchor>
  <xdr:twoCellAnchor>
    <xdr:from>
      <xdr:col>31</xdr:col>
      <xdr:colOff>0</xdr:colOff>
      <xdr:row>5</xdr:row>
      <xdr:rowOff>0</xdr:rowOff>
    </xdr:from>
    <xdr:to>
      <xdr:col>31</xdr:col>
      <xdr:colOff>276225</xdr:colOff>
      <xdr:row>6</xdr:row>
      <xdr:rowOff>38100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3C8C62C2-5541-4B55-802F-54489BBB8CD9}"/>
            </a:ext>
          </a:extLst>
        </xdr:cNvPr>
        <xdr:cNvSpPr txBox="1"/>
      </xdr:nvSpPr>
      <xdr:spPr>
        <a:xfrm>
          <a:off x="20593050" y="1047750"/>
          <a:ext cx="276225" cy="2762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bg1">
                  <a:lumMod val="95000"/>
                </a:schemeClr>
              </a:solidFill>
            </a:rPr>
            <a:t>4</a:t>
          </a:r>
        </a:p>
      </xdr:txBody>
    </xdr:sp>
    <xdr:clientData/>
  </xdr:twoCellAnchor>
  <xdr:twoCellAnchor>
    <xdr:from>
      <xdr:col>15</xdr:col>
      <xdr:colOff>1257300</xdr:colOff>
      <xdr:row>2</xdr:row>
      <xdr:rowOff>57150</xdr:rowOff>
    </xdr:from>
    <xdr:to>
      <xdr:col>16</xdr:col>
      <xdr:colOff>9525</xdr:colOff>
      <xdr:row>3</xdr:row>
      <xdr:rowOff>66675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A4036EBE-8211-44B4-9F71-675843F1BE9A}"/>
            </a:ext>
          </a:extLst>
        </xdr:cNvPr>
        <xdr:cNvSpPr txBox="1"/>
      </xdr:nvSpPr>
      <xdr:spPr>
        <a:xfrm>
          <a:off x="9953625" y="419100"/>
          <a:ext cx="276225" cy="2762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bg1">
                  <a:lumMod val="95000"/>
                </a:schemeClr>
              </a:solidFill>
            </a:rPr>
            <a:t>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396240</xdr:colOff>
      <xdr:row>26</xdr:row>
      <xdr:rowOff>15240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9AF9A7-50DB-66D0-0F46-DBB2C7C591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421" t="19113" r="35075" b="34510"/>
        <a:stretch/>
      </xdr:blipFill>
      <xdr:spPr>
        <a:xfrm>
          <a:off x="0" y="0"/>
          <a:ext cx="5943600" cy="477012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26</xdr:row>
      <xdr:rowOff>15240</xdr:rowOff>
    </xdr:from>
    <xdr:to>
      <xdr:col>8</xdr:col>
      <xdr:colOff>727627</xdr:colOff>
      <xdr:row>57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BD6BD68-B7F9-1EBE-CB3A-997352A221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3920" t="23938" r="29739" b="8138"/>
        <a:stretch/>
      </xdr:blipFill>
      <xdr:spPr>
        <a:xfrm>
          <a:off x="99060" y="4770120"/>
          <a:ext cx="6968407" cy="57454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45720</xdr:rowOff>
    </xdr:from>
    <xdr:to>
      <xdr:col>8</xdr:col>
      <xdr:colOff>312693</xdr:colOff>
      <xdr:row>88</xdr:row>
      <xdr:rowOff>144780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C029D1A-A8D9-A41E-D541-F0F8A6E292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461" t="18816" r="27658" b="6730"/>
        <a:stretch/>
      </xdr:blipFill>
      <xdr:spPr>
        <a:xfrm>
          <a:off x="0" y="10652760"/>
          <a:ext cx="6652533" cy="5585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114301</xdr:rowOff>
    </xdr:from>
    <xdr:to>
      <xdr:col>8</xdr:col>
      <xdr:colOff>396797</xdr:colOff>
      <xdr:row>112</xdr:row>
      <xdr:rowOff>30481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F6D4B81-2EB8-CB7D-EA33-FD3C9CAD34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1794" t="19558" r="25157" b="22731"/>
        <a:stretch/>
      </xdr:blipFill>
      <xdr:spPr>
        <a:xfrm>
          <a:off x="0" y="16390621"/>
          <a:ext cx="6736637" cy="4122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76200</xdr:rowOff>
    </xdr:from>
    <xdr:to>
      <xdr:col>8</xdr:col>
      <xdr:colOff>501299</xdr:colOff>
      <xdr:row>136</xdr:row>
      <xdr:rowOff>45720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7FECB1E-1285-23D4-CC4F-E223D432DF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2502" t="21929" r="26157" b="22361"/>
        <a:stretch/>
      </xdr:blipFill>
      <xdr:spPr>
        <a:xfrm>
          <a:off x="0" y="20741640"/>
          <a:ext cx="6841139" cy="41757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106680</xdr:rowOff>
    </xdr:from>
    <xdr:to>
      <xdr:col>8</xdr:col>
      <xdr:colOff>376032</xdr:colOff>
      <xdr:row>157</xdr:row>
      <xdr:rowOff>83820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BBAAA2D5-FFE8-3393-7653-653E0ECAA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3545" t="25781" r="26533" b="23768"/>
        <a:stretch/>
      </xdr:blipFill>
      <xdr:spPr>
        <a:xfrm>
          <a:off x="0" y="24978360"/>
          <a:ext cx="6715872" cy="381762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156</xdr:row>
      <xdr:rowOff>83820</xdr:rowOff>
    </xdr:from>
    <xdr:to>
      <xdr:col>7</xdr:col>
      <xdr:colOff>791505</xdr:colOff>
      <xdr:row>174</xdr:row>
      <xdr:rowOff>152400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E12C54BC-0665-CEBC-3D8B-9A7D584D91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3837" t="42672" r="29866" b="12730"/>
        <a:stretch/>
      </xdr:blipFill>
      <xdr:spPr>
        <a:xfrm>
          <a:off x="137160" y="28613100"/>
          <a:ext cx="6201705" cy="3360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160020</xdr:rowOff>
    </xdr:from>
    <xdr:to>
      <xdr:col>7</xdr:col>
      <xdr:colOff>677024</xdr:colOff>
      <xdr:row>199</xdr:row>
      <xdr:rowOff>144780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67583D6-9368-3273-CC55-6F80FA0798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836" t="26004" r="28325" b="10433"/>
        <a:stretch/>
      </xdr:blipFill>
      <xdr:spPr>
        <a:xfrm>
          <a:off x="0" y="31981140"/>
          <a:ext cx="6224384" cy="4556760"/>
        </a:xfrm>
        <a:prstGeom prst="rect">
          <a:avLst/>
        </a:prstGeom>
      </xdr:spPr>
    </xdr:pic>
    <xdr:clientData/>
  </xdr:twoCellAnchor>
  <xdr:twoCellAnchor editAs="oneCell">
    <xdr:from>
      <xdr:col>0</xdr:col>
      <xdr:colOff>7619</xdr:colOff>
      <xdr:row>200</xdr:row>
      <xdr:rowOff>0</xdr:rowOff>
    </xdr:from>
    <xdr:to>
      <xdr:col>7</xdr:col>
      <xdr:colOff>685772</xdr:colOff>
      <xdr:row>207</xdr:row>
      <xdr:rowOff>137160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B3D310C6-6091-1CFC-1CEE-A54086018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22378" t="48895" r="29116" b="31473"/>
        <a:stretch/>
      </xdr:blipFill>
      <xdr:spPr>
        <a:xfrm>
          <a:off x="7619" y="36576000"/>
          <a:ext cx="6225513" cy="1417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30480</xdr:rowOff>
    </xdr:from>
    <xdr:to>
      <xdr:col>7</xdr:col>
      <xdr:colOff>613538</xdr:colOff>
      <xdr:row>236</xdr:row>
      <xdr:rowOff>7620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8886C35C-DB77-E880-AF49-6DDB59AA31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22628" t="19928" r="27866" b="7248"/>
        <a:stretch/>
      </xdr:blipFill>
      <xdr:spPr>
        <a:xfrm>
          <a:off x="0" y="38069520"/>
          <a:ext cx="6160898" cy="509778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237</xdr:row>
      <xdr:rowOff>99060</xdr:rowOff>
    </xdr:from>
    <xdr:to>
      <xdr:col>8</xdr:col>
      <xdr:colOff>109677</xdr:colOff>
      <xdr:row>257</xdr:row>
      <xdr:rowOff>106680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46DFBB13-F23B-C881-AEC1-DD1949CC30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3294" t="33486" r="27574" b="16582"/>
        <a:stretch/>
      </xdr:blipFill>
      <xdr:spPr>
        <a:xfrm>
          <a:off x="38101" y="43441620"/>
          <a:ext cx="6411416" cy="3665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258</xdr:row>
      <xdr:rowOff>38100</xdr:rowOff>
    </xdr:from>
    <xdr:to>
      <xdr:col>10</xdr:col>
      <xdr:colOff>662940</xdr:colOff>
      <xdr:row>295</xdr:row>
      <xdr:rowOff>45720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44A66A8-0D15-F8E9-DA56-07248A6A49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18628" t="17113" r="34408" b="17027"/>
        <a:stretch/>
      </xdr:blipFill>
      <xdr:spPr>
        <a:xfrm>
          <a:off x="0" y="47221140"/>
          <a:ext cx="8587740" cy="6774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1"/>
  <sheetViews>
    <sheetView showGridLines="0" zoomScale="80" zoomScaleNormal="80" workbookViewId="0">
      <selection activeCell="H26" sqref="H26"/>
    </sheetView>
  </sheetViews>
  <sheetFormatPr baseColWidth="10" defaultColWidth="10.77734375" defaultRowHeight="14.4" x14ac:dyDescent="0.3"/>
  <cols>
    <col min="1" max="1" width="4.21875" customWidth="1"/>
    <col min="2" max="2" width="2.77734375" customWidth="1"/>
    <col min="3" max="4" width="7.77734375" customWidth="1"/>
    <col min="6" max="6" width="8.33203125" customWidth="1"/>
    <col min="7" max="7" width="10.5546875" customWidth="1"/>
    <col min="8" max="8" width="2.77734375" customWidth="1"/>
    <col min="9" max="9" width="20.88671875" customWidth="1"/>
    <col min="10" max="10" width="10.109375" customWidth="1"/>
    <col min="11" max="11" width="3.77734375" customWidth="1"/>
    <col min="12" max="12" width="14.6640625" customWidth="1"/>
    <col min="13" max="13" width="7.5546875" customWidth="1"/>
    <col min="14" max="14" width="8.5546875" customWidth="1"/>
    <col min="15" max="15" width="2.33203125" customWidth="1"/>
    <col min="16" max="16" width="22.5546875" customWidth="1"/>
    <col min="17" max="17" width="8.33203125" customWidth="1"/>
    <col min="18" max="18" width="5.88671875" customWidth="1"/>
  </cols>
  <sheetData>
    <row r="1" spans="2:21" x14ac:dyDescent="0.3"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2:21" x14ac:dyDescent="0.3">
      <c r="B2" s="64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1"/>
      <c r="Q2" s="61"/>
      <c r="R2" s="60"/>
    </row>
    <row r="3" spans="2:21" ht="21" x14ac:dyDescent="0.4">
      <c r="B3" s="58"/>
      <c r="C3" s="148" t="s">
        <v>80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20"/>
      <c r="Q3" s="120"/>
      <c r="R3" s="54"/>
    </row>
    <row r="4" spans="2:21" x14ac:dyDescent="0.3">
      <c r="B4" s="58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R4" s="54"/>
    </row>
    <row r="5" spans="2:21" x14ac:dyDescent="0.3">
      <c r="B5" s="109"/>
      <c r="C5" s="97" t="s">
        <v>44</v>
      </c>
      <c r="D5" s="88"/>
      <c r="E5" s="89"/>
      <c r="F5" s="89"/>
      <c r="G5" s="90"/>
      <c r="H5" s="96"/>
      <c r="I5" s="97" t="s">
        <v>45</v>
      </c>
      <c r="J5" s="88"/>
      <c r="K5" s="88"/>
      <c r="L5" s="88"/>
      <c r="M5" s="89"/>
      <c r="N5" s="95"/>
      <c r="O5" s="96"/>
      <c r="P5" s="97" t="s">
        <v>46</v>
      </c>
      <c r="Q5" s="89"/>
      <c r="R5" s="98"/>
    </row>
    <row r="6" spans="2:21" x14ac:dyDescent="0.3">
      <c r="B6" s="58"/>
      <c r="C6" s="55"/>
      <c r="D6" s="55"/>
      <c r="F6" s="57"/>
      <c r="G6" s="91"/>
      <c r="H6" s="101"/>
      <c r="I6" s="57"/>
      <c r="J6" s="55"/>
      <c r="K6" s="55"/>
      <c r="L6" s="55"/>
      <c r="N6" s="59"/>
      <c r="O6" s="99"/>
      <c r="R6" s="54"/>
    </row>
    <row r="7" spans="2:21" x14ac:dyDescent="0.3">
      <c r="B7" s="58"/>
      <c r="C7" s="55" t="s">
        <v>54</v>
      </c>
      <c r="D7" s="55"/>
      <c r="E7" s="121" t="s">
        <v>55</v>
      </c>
      <c r="F7" s="122"/>
      <c r="G7" s="91"/>
      <c r="H7" s="101"/>
      <c r="I7" s="77" t="s">
        <v>31</v>
      </c>
      <c r="J7" s="87">
        <v>72</v>
      </c>
      <c r="K7" s="118"/>
      <c r="L7" s="118" t="s">
        <v>56</v>
      </c>
      <c r="M7" s="56"/>
      <c r="N7" s="55"/>
      <c r="O7" s="100"/>
      <c r="P7" s="85" t="s">
        <v>43</v>
      </c>
      <c r="Q7" s="85"/>
      <c r="R7" s="54"/>
      <c r="T7" s="72" t="s">
        <v>58</v>
      </c>
    </row>
    <row r="8" spans="2:21" s="3" customFormat="1" ht="20.399999999999999" customHeight="1" x14ac:dyDescent="0.3">
      <c r="B8" s="44"/>
      <c r="C8" s="73" t="s">
        <v>30</v>
      </c>
      <c r="E8" s="73">
        <f>E10/E9%</f>
        <v>1724.1379310344828</v>
      </c>
      <c r="G8" s="91"/>
      <c r="H8" s="101"/>
      <c r="I8" s="76" t="s">
        <v>30</v>
      </c>
      <c r="J8" s="76">
        <f>J10+J19</f>
        <v>1155.7168784029038</v>
      </c>
      <c r="L8" s="72" t="s">
        <v>39</v>
      </c>
      <c r="O8" s="101"/>
      <c r="P8" s="77" t="s">
        <v>36</v>
      </c>
      <c r="Q8" s="86">
        <v>4.5</v>
      </c>
      <c r="R8" s="41"/>
      <c r="T8" s="72" t="s">
        <v>57</v>
      </c>
    </row>
    <row r="9" spans="2:21" s="3" customFormat="1" ht="20.399999999999999" customHeight="1" x14ac:dyDescent="0.3">
      <c r="B9" s="44"/>
      <c r="C9" s="73" t="s">
        <v>29</v>
      </c>
      <c r="E9" s="74">
        <v>58</v>
      </c>
      <c r="G9" s="91"/>
      <c r="H9" s="101"/>
      <c r="I9" s="77" t="s">
        <v>29</v>
      </c>
      <c r="J9" s="78">
        <f>J10/J8%</f>
        <v>39.802135678391963</v>
      </c>
      <c r="L9" s="52" t="s">
        <v>42</v>
      </c>
      <c r="O9" s="101"/>
      <c r="P9" s="79" t="s">
        <v>29</v>
      </c>
      <c r="Q9" s="102">
        <f>100-Q26</f>
        <v>95.272099110286177</v>
      </c>
      <c r="R9" s="41"/>
    </row>
    <row r="10" spans="2:21" s="3" customFormat="1" ht="20.399999999999999" customHeight="1" x14ac:dyDescent="0.3">
      <c r="B10" s="44"/>
      <c r="C10" s="73" t="s">
        <v>28</v>
      </c>
      <c r="E10" s="115">
        <v>1000</v>
      </c>
      <c r="G10" s="91"/>
      <c r="H10" s="101"/>
      <c r="I10" s="76" t="s">
        <v>28</v>
      </c>
      <c r="J10" s="76">
        <f>J14+J15+J16+J17+J18</f>
        <v>460</v>
      </c>
      <c r="L10" s="72" t="s">
        <v>39</v>
      </c>
      <c r="O10" s="101"/>
      <c r="P10" s="79" t="s">
        <v>28</v>
      </c>
      <c r="Q10" s="73">
        <f>E10</f>
        <v>1000</v>
      </c>
      <c r="R10" s="41"/>
    </row>
    <row r="11" spans="2:21" s="3" customFormat="1" ht="20.399999999999999" customHeight="1" x14ac:dyDescent="0.3">
      <c r="B11" s="44"/>
      <c r="C11" s="73"/>
      <c r="G11" s="91"/>
      <c r="H11" s="101"/>
      <c r="I11" s="79"/>
      <c r="J11" s="79"/>
      <c r="O11" s="101"/>
      <c r="P11" s="79"/>
      <c r="Q11" s="73"/>
      <c r="R11" s="41"/>
    </row>
    <row r="12" spans="2:21" s="3" customFormat="1" ht="20.399999999999999" customHeight="1" x14ac:dyDescent="0.3">
      <c r="B12" s="44"/>
      <c r="C12" s="116" t="s">
        <v>38</v>
      </c>
      <c r="E12" s="82"/>
      <c r="G12" s="91"/>
      <c r="H12" s="101"/>
      <c r="I12" s="116" t="s">
        <v>38</v>
      </c>
      <c r="J12" s="79"/>
      <c r="O12" s="101"/>
      <c r="P12" s="116" t="s">
        <v>38</v>
      </c>
      <c r="Q12" s="73"/>
      <c r="R12" s="41"/>
    </row>
    <row r="13" spans="2:21" s="3" customFormat="1" ht="20.399999999999999" customHeight="1" x14ac:dyDescent="0.3">
      <c r="B13" s="44"/>
      <c r="C13" s="116"/>
      <c r="E13" s="82"/>
      <c r="G13" s="91"/>
      <c r="H13" s="101"/>
      <c r="I13" s="116"/>
      <c r="J13" s="79"/>
      <c r="O13" s="101"/>
      <c r="P13" s="116"/>
      <c r="Q13" s="73"/>
      <c r="R13" s="41"/>
    </row>
    <row r="14" spans="2:21" s="3" customFormat="1" ht="20.399999999999999" customHeight="1" x14ac:dyDescent="0.3">
      <c r="B14" s="44"/>
      <c r="C14" s="4"/>
      <c r="D14" s="4"/>
      <c r="E14" s="43" t="s">
        <v>27</v>
      </c>
      <c r="F14" s="75">
        <v>135</v>
      </c>
      <c r="G14" s="91"/>
      <c r="H14" s="101"/>
      <c r="I14" s="43" t="s">
        <v>27</v>
      </c>
      <c r="J14" s="43">
        <f>F14</f>
        <v>135</v>
      </c>
      <c r="K14" s="42"/>
      <c r="M14" s="46"/>
      <c r="N14" s="47"/>
      <c r="O14" s="101"/>
      <c r="P14" s="43" t="s">
        <v>27</v>
      </c>
      <c r="Q14" s="43">
        <f t="shared" ref="Q14:Q18" si="0">J14</f>
        <v>135</v>
      </c>
      <c r="R14" s="41"/>
      <c r="T14" s="124">
        <f>(Q14/(100-6.4)%)-Q14</f>
        <v>9.2307692307692264</v>
      </c>
      <c r="U14" s="3" t="s">
        <v>63</v>
      </c>
    </row>
    <row r="15" spans="2:21" s="3" customFormat="1" ht="20.399999999999999" customHeight="1" x14ac:dyDescent="0.3">
      <c r="B15" s="44"/>
      <c r="C15" s="4"/>
      <c r="D15" s="4"/>
      <c r="E15" s="43" t="s">
        <v>26</v>
      </c>
      <c r="F15" s="75">
        <v>81</v>
      </c>
      <c r="G15" s="91"/>
      <c r="H15" s="101"/>
      <c r="I15" s="43" t="s">
        <v>26</v>
      </c>
      <c r="J15" s="43">
        <f>F15</f>
        <v>81</v>
      </c>
      <c r="K15" s="4"/>
      <c r="M15" s="4"/>
      <c r="N15" s="42"/>
      <c r="O15" s="101"/>
      <c r="P15" s="43" t="s">
        <v>26</v>
      </c>
      <c r="Q15" s="43">
        <f t="shared" si="0"/>
        <v>81</v>
      </c>
      <c r="R15" s="41"/>
      <c r="T15" s="124">
        <f>(Q15/(100-6.4)%)-Q15</f>
        <v>5.5384615384615472</v>
      </c>
      <c r="U15" s="3" t="s">
        <v>64</v>
      </c>
    </row>
    <row r="16" spans="2:21" s="3" customFormat="1" ht="20.399999999999999" customHeight="1" x14ac:dyDescent="0.3">
      <c r="B16" s="44"/>
      <c r="C16" s="4"/>
      <c r="D16" s="4"/>
      <c r="E16" s="43" t="s">
        <v>25</v>
      </c>
      <c r="F16" s="75">
        <v>10</v>
      </c>
      <c r="G16" s="91"/>
      <c r="H16" s="101"/>
      <c r="I16" s="43" t="s">
        <v>25</v>
      </c>
      <c r="J16" s="43">
        <f>F16</f>
        <v>10</v>
      </c>
      <c r="K16" s="4"/>
      <c r="M16" s="4"/>
      <c r="N16" s="42"/>
      <c r="O16" s="101"/>
      <c r="P16" s="43" t="s">
        <v>25</v>
      </c>
      <c r="Q16" s="43">
        <f t="shared" si="0"/>
        <v>10</v>
      </c>
      <c r="R16" s="41"/>
    </row>
    <row r="17" spans="2:25" s="3" customFormat="1" ht="20.399999999999999" customHeight="1" x14ac:dyDescent="0.3">
      <c r="B17" s="44"/>
      <c r="C17" s="4"/>
      <c r="D17" s="4"/>
      <c r="E17" s="43" t="s">
        <v>24</v>
      </c>
      <c r="F17" s="43">
        <f>E10-F14-F15-F16-F18</f>
        <v>24</v>
      </c>
      <c r="G17" s="91"/>
      <c r="H17" s="101"/>
      <c r="I17" s="43" t="s">
        <v>24</v>
      </c>
      <c r="J17" s="43">
        <f>F17</f>
        <v>24</v>
      </c>
      <c r="K17" s="4"/>
      <c r="M17" s="4"/>
      <c r="N17" s="42"/>
      <c r="O17" s="101"/>
      <c r="P17" s="43" t="s">
        <v>24</v>
      </c>
      <c r="Q17" s="43">
        <f t="shared" si="0"/>
        <v>24</v>
      </c>
      <c r="R17" s="41"/>
    </row>
    <row r="18" spans="2:25" s="3" customFormat="1" ht="20.399999999999999" customHeight="1" x14ac:dyDescent="0.3">
      <c r="B18" s="44"/>
      <c r="C18" s="4"/>
      <c r="D18" s="4"/>
      <c r="E18" s="43" t="s">
        <v>23</v>
      </c>
      <c r="F18" s="75">
        <v>750</v>
      </c>
      <c r="G18" s="91"/>
      <c r="H18" s="101"/>
      <c r="I18" s="46" t="s">
        <v>23</v>
      </c>
      <c r="J18" s="46">
        <f>F18-(F18*J7%)</f>
        <v>210</v>
      </c>
      <c r="L18" s="35" t="s">
        <v>22</v>
      </c>
      <c r="M18" s="4"/>
      <c r="N18" s="42"/>
      <c r="O18" s="101"/>
      <c r="P18" s="46" t="s">
        <v>35</v>
      </c>
      <c r="Q18" s="46">
        <f t="shared" si="0"/>
        <v>210</v>
      </c>
      <c r="R18" s="41"/>
      <c r="T18" s="125">
        <f>T19/(Q18+T19)%</f>
        <v>2.9731600571632875</v>
      </c>
      <c r="U18" s="126" t="s">
        <v>60</v>
      </c>
      <c r="V18" s="126" t="s">
        <v>62</v>
      </c>
    </row>
    <row r="19" spans="2:25" s="3" customFormat="1" ht="20.399999999999999" customHeight="1" x14ac:dyDescent="0.3">
      <c r="B19" s="44"/>
      <c r="C19" s="4"/>
      <c r="D19" s="4"/>
      <c r="E19" s="50" t="s">
        <v>21</v>
      </c>
      <c r="F19" s="50">
        <f>E8-E10</f>
        <v>724.13793103448279</v>
      </c>
      <c r="G19" s="92"/>
      <c r="H19" s="103"/>
      <c r="I19" s="50" t="s">
        <v>21</v>
      </c>
      <c r="J19" s="50">
        <f>F19-J22</f>
        <v>695.71687840290383</v>
      </c>
      <c r="K19" s="48"/>
      <c r="M19" s="4"/>
      <c r="N19" s="42"/>
      <c r="O19" s="103"/>
      <c r="P19" s="50" t="s">
        <v>21</v>
      </c>
      <c r="Q19" s="50">
        <f>(Q14+Q15+Q17+Q18)/(100-Q8)%-(Q14+Q15+Q17+Q18)</f>
        <v>21.20418848167543</v>
      </c>
      <c r="R19" s="41"/>
      <c r="T19" s="50">
        <f>Q19-T14-T15</f>
        <v>6.4349577124446569</v>
      </c>
      <c r="U19" s="127" t="s">
        <v>61</v>
      </c>
    </row>
    <row r="20" spans="2:25" s="3" customFormat="1" ht="20.399999999999999" customHeight="1" x14ac:dyDescent="0.3">
      <c r="B20" s="44"/>
      <c r="C20" s="4"/>
      <c r="D20" s="4"/>
      <c r="E20" s="50"/>
      <c r="F20" s="49"/>
      <c r="G20" s="91"/>
      <c r="H20" s="101"/>
      <c r="I20" s="50"/>
      <c r="J20" s="49"/>
      <c r="K20" s="48"/>
      <c r="M20" s="4"/>
      <c r="N20" s="42"/>
      <c r="O20" s="101"/>
      <c r="P20" s="50"/>
      <c r="Q20" s="80"/>
      <c r="R20" s="41"/>
      <c r="Y20" s="4"/>
    </row>
    <row r="21" spans="2:25" s="3" customFormat="1" ht="20.399999999999999" customHeight="1" x14ac:dyDescent="0.3">
      <c r="B21" s="44"/>
      <c r="C21" s="4"/>
      <c r="D21" s="4"/>
      <c r="E21" s="4"/>
      <c r="F21" s="4"/>
      <c r="G21" s="93"/>
      <c r="H21" s="111"/>
      <c r="I21" s="46" t="s">
        <v>20</v>
      </c>
      <c r="J21" s="46">
        <f>F18-J18</f>
        <v>540</v>
      </c>
      <c r="K21" s="35"/>
      <c r="L21" s="76" t="s">
        <v>19</v>
      </c>
      <c r="N21" s="47">
        <f>J21+J22</f>
        <v>568.42105263157896</v>
      </c>
      <c r="O21" s="104"/>
      <c r="P21" s="51" t="s">
        <v>20</v>
      </c>
      <c r="Q21" s="51">
        <f>J21</f>
        <v>540</v>
      </c>
      <c r="R21" s="41"/>
    </row>
    <row r="22" spans="2:25" s="3" customFormat="1" ht="20.399999999999999" customHeight="1" x14ac:dyDescent="0.3">
      <c r="B22" s="44"/>
      <c r="C22" s="4"/>
      <c r="D22" s="4"/>
      <c r="E22" s="4"/>
      <c r="F22" s="4"/>
      <c r="G22" s="93"/>
      <c r="H22" s="111"/>
      <c r="I22" s="46" t="s">
        <v>18</v>
      </c>
      <c r="J22" s="46">
        <f>(J21/0.95)-J21</f>
        <v>28.421052631578959</v>
      </c>
      <c r="K22" s="35"/>
      <c r="L22" s="76" t="s">
        <v>17</v>
      </c>
      <c r="N22" s="45">
        <f>J22/N21%</f>
        <v>5.0000000000000018</v>
      </c>
      <c r="O22" s="104"/>
      <c r="P22" s="50" t="s">
        <v>18</v>
      </c>
      <c r="Q22" s="50">
        <f>J22</f>
        <v>28.421052631578959</v>
      </c>
      <c r="R22" s="41"/>
    </row>
    <row r="23" spans="2:25" s="3" customFormat="1" ht="20.399999999999999" customHeight="1" x14ac:dyDescent="0.3">
      <c r="B23" s="44"/>
      <c r="C23" s="4"/>
      <c r="D23" s="4"/>
      <c r="E23" s="4"/>
      <c r="F23" s="4"/>
      <c r="G23" s="93"/>
      <c r="H23" s="111"/>
      <c r="I23" s="46"/>
      <c r="J23" s="47"/>
      <c r="K23" s="35"/>
      <c r="L23" s="76" t="s">
        <v>16</v>
      </c>
      <c r="N23" s="45"/>
      <c r="O23" s="105"/>
      <c r="P23" s="46"/>
      <c r="Q23" s="43"/>
      <c r="R23" s="41"/>
    </row>
    <row r="24" spans="2:25" s="3" customFormat="1" ht="20.399999999999999" customHeight="1" x14ac:dyDescent="0.3">
      <c r="B24" s="44"/>
      <c r="C24" s="4"/>
      <c r="D24" s="4"/>
      <c r="E24" s="68" t="s">
        <v>33</v>
      </c>
      <c r="F24" s="69">
        <f>E10</f>
        <v>1000</v>
      </c>
      <c r="G24" s="94"/>
      <c r="H24" s="106"/>
      <c r="I24" s="68" t="s">
        <v>53</v>
      </c>
      <c r="J24" s="68">
        <f>J10+J21+J22</f>
        <v>1028.421052631579</v>
      </c>
      <c r="K24" s="4"/>
      <c r="N24" s="4"/>
      <c r="O24" s="106"/>
      <c r="P24" s="68" t="s">
        <v>32</v>
      </c>
      <c r="Q24" s="68">
        <f>Q14+Q15+Q16+Q17+Q18+Q19+Q21+Q22</f>
        <v>1049.6252411132543</v>
      </c>
      <c r="R24" s="41"/>
      <c r="T24" s="72" t="s">
        <v>50</v>
      </c>
    </row>
    <row r="25" spans="2:25" s="3" customFormat="1" ht="20.399999999999999" customHeight="1" x14ac:dyDescent="0.3">
      <c r="B25" s="44"/>
      <c r="C25" s="4"/>
      <c r="D25" s="4"/>
      <c r="E25" s="4"/>
      <c r="F25" s="4"/>
      <c r="G25" s="94"/>
      <c r="H25" s="106"/>
      <c r="I25" s="68"/>
      <c r="J25" s="69"/>
      <c r="K25" s="4"/>
      <c r="M25" s="46"/>
      <c r="N25" s="4"/>
      <c r="O25" s="106"/>
      <c r="P25" s="68"/>
      <c r="Q25" s="68"/>
      <c r="R25" s="41"/>
    </row>
    <row r="26" spans="2:25" s="3" customFormat="1" ht="20.399999999999999" customHeight="1" x14ac:dyDescent="0.3">
      <c r="B26" s="44"/>
      <c r="C26" s="4"/>
      <c r="D26" s="4"/>
      <c r="E26" s="53" t="s">
        <v>52</v>
      </c>
      <c r="F26" s="112">
        <f>F18/F19%</f>
        <v>103.57142857142856</v>
      </c>
      <c r="G26" s="113"/>
      <c r="H26" s="114"/>
      <c r="I26" s="53" t="s">
        <v>15</v>
      </c>
      <c r="J26" s="53">
        <f>J18/J19%</f>
        <v>30.184692440131474</v>
      </c>
      <c r="L26" s="52" t="s">
        <v>51</v>
      </c>
      <c r="M26" s="4"/>
      <c r="N26" s="4"/>
      <c r="O26" s="106"/>
      <c r="P26" s="70" t="s">
        <v>34</v>
      </c>
      <c r="Q26" s="81">
        <f>(Q19+Q22)/Q24%</f>
        <v>4.7279008897138208</v>
      </c>
      <c r="R26" s="41"/>
      <c r="T26" s="72" t="s">
        <v>40</v>
      </c>
    </row>
    <row r="27" spans="2:25" s="3" customFormat="1" ht="20.399999999999999" customHeight="1" x14ac:dyDescent="0.3">
      <c r="B27" s="44"/>
      <c r="C27" s="52"/>
      <c r="D27" s="4"/>
      <c r="E27" s="4"/>
      <c r="F27" s="4"/>
      <c r="G27" s="94"/>
      <c r="H27" s="106"/>
      <c r="J27" s="4"/>
      <c r="K27" s="4"/>
      <c r="L27" s="35"/>
      <c r="M27" s="4"/>
      <c r="N27" s="94"/>
      <c r="O27" s="106"/>
      <c r="P27" s="70" t="s">
        <v>49</v>
      </c>
      <c r="Q27" s="81">
        <f>Q19/Q24%</f>
        <v>2.0201675465793705</v>
      </c>
      <c r="R27" s="41"/>
      <c r="T27" s="72" t="s">
        <v>37</v>
      </c>
    </row>
    <row r="28" spans="2:25" s="3" customFormat="1" ht="20.399999999999999" customHeight="1" x14ac:dyDescent="0.3">
      <c r="B28" s="65"/>
      <c r="C28" s="63"/>
      <c r="D28" s="39"/>
      <c r="E28" s="39"/>
      <c r="F28" s="39"/>
      <c r="G28" s="108"/>
      <c r="H28" s="107"/>
      <c r="I28" s="38"/>
      <c r="J28" s="39"/>
      <c r="K28" s="39"/>
      <c r="L28" s="40"/>
      <c r="M28" s="39"/>
      <c r="N28" s="108"/>
      <c r="O28" s="107"/>
      <c r="P28" s="83"/>
      <c r="Q28" s="84"/>
      <c r="R28" s="37"/>
      <c r="T28" s="72" t="s">
        <v>41</v>
      </c>
    </row>
    <row r="29" spans="2:25" s="3" customFormat="1" ht="25.95" customHeight="1" x14ac:dyDescent="0.3">
      <c r="C29" s="4"/>
      <c r="D29" s="36"/>
      <c r="E29" s="4"/>
      <c r="F29" s="4"/>
      <c r="G29" s="4"/>
      <c r="H29" s="4"/>
      <c r="I29" s="4"/>
      <c r="J29" s="4"/>
      <c r="K29" s="4"/>
      <c r="L29" s="35"/>
      <c r="M29" s="4"/>
      <c r="N29" s="4"/>
      <c r="O29" s="4"/>
    </row>
    <row r="30" spans="2:25" s="3" customFormat="1" ht="15.6" customHeight="1" x14ac:dyDescent="0.3">
      <c r="B30" s="67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3"/>
    </row>
    <row r="31" spans="2:25" s="3" customFormat="1" ht="15.6" customHeight="1" x14ac:dyDescent="0.35">
      <c r="B31" s="44"/>
      <c r="C31" s="66" t="s">
        <v>14</v>
      </c>
      <c r="D31" s="32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29"/>
    </row>
    <row r="32" spans="2:25" s="3" customFormat="1" ht="15.6" customHeight="1" x14ac:dyDescent="0.3">
      <c r="B32" s="44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29"/>
    </row>
    <row r="33" spans="2:18" s="3" customFormat="1" ht="15.6" customHeight="1" x14ac:dyDescent="0.3">
      <c r="B33" s="44"/>
      <c r="E33" s="31" t="s">
        <v>13</v>
      </c>
      <c r="F33" s="30"/>
      <c r="G33" s="26">
        <v>75</v>
      </c>
      <c r="H33" s="71"/>
      <c r="I33" s="30"/>
      <c r="J33" s="30"/>
      <c r="K33" s="30"/>
      <c r="L33" s="30"/>
      <c r="M33" s="30"/>
      <c r="N33" s="30"/>
      <c r="O33" s="30"/>
      <c r="P33" s="30"/>
      <c r="Q33" s="30"/>
      <c r="R33" s="29"/>
    </row>
    <row r="34" spans="2:18" s="3" customFormat="1" ht="15.6" customHeight="1" x14ac:dyDescent="0.3">
      <c r="B34" s="44"/>
      <c r="C34" s="30"/>
      <c r="D34" s="28"/>
      <c r="E34" s="30"/>
      <c r="F34" s="30"/>
      <c r="G34" s="30"/>
      <c r="H34" s="30"/>
      <c r="I34" s="30"/>
      <c r="J34" s="28"/>
      <c r="K34" s="30"/>
      <c r="L34" s="30"/>
      <c r="M34" s="30"/>
      <c r="N34" s="30"/>
      <c r="O34" s="30"/>
      <c r="P34" s="30"/>
      <c r="Q34" s="30"/>
      <c r="R34" s="29"/>
    </row>
    <row r="35" spans="2:18" s="3" customFormat="1" ht="15.6" customHeight="1" x14ac:dyDescent="0.3">
      <c r="B35" s="44"/>
      <c r="C35" s="8"/>
      <c r="D35" s="28"/>
      <c r="E35" s="18" t="s">
        <v>12</v>
      </c>
      <c r="F35" s="27" t="s">
        <v>11</v>
      </c>
      <c r="G35" s="26">
        <v>58</v>
      </c>
      <c r="H35" s="71"/>
      <c r="I35" s="15" t="s">
        <v>5</v>
      </c>
      <c r="J35" s="28"/>
      <c r="K35" s="8"/>
      <c r="L35" s="123" t="s">
        <v>59</v>
      </c>
      <c r="M35" s="27" t="s">
        <v>10</v>
      </c>
      <c r="N35" s="26">
        <v>39.799999999999997</v>
      </c>
      <c r="O35" s="71"/>
      <c r="P35" s="8"/>
      <c r="Q35" s="8"/>
      <c r="R35" s="7"/>
    </row>
    <row r="36" spans="2:18" s="3" customFormat="1" ht="15.6" customHeight="1" x14ac:dyDescent="0.3">
      <c r="B36" s="44"/>
      <c r="C36" s="8"/>
      <c r="D36" s="8"/>
      <c r="E36" s="8"/>
      <c r="F36" s="8"/>
      <c r="G36" s="8"/>
      <c r="H36" s="8"/>
      <c r="I36" s="22"/>
      <c r="J36" s="8"/>
      <c r="K36" s="8"/>
      <c r="L36" s="8"/>
      <c r="M36" s="8"/>
      <c r="N36" s="8"/>
      <c r="O36" s="8"/>
      <c r="P36" s="8"/>
      <c r="Q36" s="8"/>
      <c r="R36" s="7"/>
    </row>
    <row r="37" spans="2:18" s="3" customFormat="1" ht="15.6" customHeight="1" x14ac:dyDescent="0.3">
      <c r="B37" s="44"/>
      <c r="C37" s="8"/>
      <c r="D37" s="8"/>
      <c r="E37" s="8"/>
      <c r="F37" s="24"/>
      <c r="G37" s="24"/>
      <c r="H37" s="24"/>
      <c r="I37" s="25"/>
      <c r="J37" s="24"/>
      <c r="K37" s="24"/>
      <c r="L37" s="24"/>
      <c r="M37" s="24"/>
      <c r="N37" s="24"/>
      <c r="O37" s="8"/>
      <c r="P37" s="15" t="s">
        <v>6</v>
      </c>
      <c r="Q37" s="23">
        <v>9500</v>
      </c>
      <c r="R37" s="7"/>
    </row>
    <row r="38" spans="2:18" s="3" customFormat="1" ht="15.6" customHeight="1" x14ac:dyDescent="0.3">
      <c r="B38" s="44"/>
      <c r="C38" s="8"/>
      <c r="E38" s="18"/>
      <c r="F38" s="21" t="s">
        <v>9</v>
      </c>
      <c r="G38" s="19"/>
      <c r="H38" s="117"/>
      <c r="I38" s="22"/>
      <c r="J38" s="21" t="s">
        <v>8</v>
      </c>
      <c r="K38" s="20"/>
      <c r="L38" s="19"/>
      <c r="M38" s="8"/>
      <c r="N38" s="8"/>
      <c r="O38" s="8"/>
      <c r="P38" s="8"/>
      <c r="Q38" s="8"/>
      <c r="R38" s="7"/>
    </row>
    <row r="39" spans="2:18" s="3" customFormat="1" ht="15.6" customHeight="1" x14ac:dyDescent="0.3">
      <c r="B39" s="44"/>
      <c r="C39" s="8"/>
      <c r="E39" s="18" t="s">
        <v>7</v>
      </c>
      <c r="F39" s="17">
        <v>1</v>
      </c>
      <c r="G39" s="16">
        <f>G35*G33%</f>
        <v>43.5</v>
      </c>
      <c r="H39" s="110"/>
      <c r="I39" s="15" t="s">
        <v>6</v>
      </c>
      <c r="J39" s="128">
        <v>95</v>
      </c>
      <c r="K39" s="14" t="s">
        <v>5</v>
      </c>
      <c r="L39" s="13">
        <f>N35</f>
        <v>39.799999999999997</v>
      </c>
      <c r="M39" s="8"/>
      <c r="N39" s="8"/>
      <c r="O39" s="8"/>
      <c r="P39" s="8"/>
      <c r="Q39" s="8"/>
      <c r="R39" s="7"/>
    </row>
    <row r="40" spans="2:18" s="3" customFormat="1" ht="15.6" customHeight="1" x14ac:dyDescent="0.3">
      <c r="B40" s="44"/>
      <c r="C40" s="8"/>
      <c r="D40" s="8"/>
      <c r="E40" s="8"/>
      <c r="F40" s="8"/>
      <c r="G40" s="8"/>
      <c r="H40" s="8"/>
      <c r="I40" s="12"/>
      <c r="J40" s="8"/>
      <c r="K40" s="8"/>
      <c r="L40" s="8"/>
      <c r="M40" s="8"/>
      <c r="N40" s="8"/>
      <c r="O40" s="8"/>
      <c r="P40" s="8"/>
      <c r="Q40" s="8"/>
      <c r="R40" s="7"/>
    </row>
    <row r="41" spans="2:18" s="3" customFormat="1" ht="18" x14ac:dyDescent="0.3">
      <c r="B41" s="44"/>
      <c r="C41" s="8"/>
      <c r="E41" s="11" t="s">
        <v>4</v>
      </c>
      <c r="F41" s="10">
        <f>((G35-N35)/(G39*(J39-L39)))*Q37</f>
        <v>72.005663834749299</v>
      </c>
      <c r="G41" s="9" t="s">
        <v>3</v>
      </c>
      <c r="H41" s="9"/>
      <c r="I41" s="9"/>
      <c r="J41" s="8"/>
      <c r="K41" s="8"/>
      <c r="L41" s="8"/>
      <c r="M41" s="8"/>
      <c r="N41" s="8"/>
      <c r="O41" s="8"/>
      <c r="P41" s="8"/>
      <c r="Q41" s="8"/>
      <c r="R41" s="7"/>
    </row>
    <row r="42" spans="2:18" s="3" customFormat="1" x14ac:dyDescent="0.3">
      <c r="B42" s="6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5"/>
    </row>
    <row r="43" spans="2:18" s="3" customFormat="1" x14ac:dyDescent="0.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8" s="3" customFormat="1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8" x14ac:dyDescent="0.3">
      <c r="C45" s="1" t="s">
        <v>2</v>
      </c>
      <c r="E45" s="2"/>
      <c r="L45" s="2"/>
    </row>
    <row r="46" spans="2:18" x14ac:dyDescent="0.3">
      <c r="C46" s="1" t="s">
        <v>1</v>
      </c>
    </row>
    <row r="47" spans="2:18" x14ac:dyDescent="0.3">
      <c r="C47" s="1" t="s">
        <v>0</v>
      </c>
    </row>
    <row r="49" spans="3:5" x14ac:dyDescent="0.3">
      <c r="C49" s="35" t="s">
        <v>47</v>
      </c>
    </row>
    <row r="51" spans="3:5" x14ac:dyDescent="0.3">
      <c r="C51" s="121" t="s">
        <v>48</v>
      </c>
      <c r="D51" s="121"/>
      <c r="E51" s="121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verticalDpi="0" r:id="rId1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4932-D654-4F42-8599-1417B8E6C22A}">
  <dimension ref="A1:AJ73"/>
  <sheetViews>
    <sheetView showGridLines="0" tabSelected="1" topLeftCell="B2" zoomScale="80" zoomScaleNormal="80" workbookViewId="0">
      <selection activeCell="C78" sqref="C78"/>
    </sheetView>
  </sheetViews>
  <sheetFormatPr baseColWidth="10" defaultRowHeight="14.4" x14ac:dyDescent="0.3"/>
  <cols>
    <col min="1" max="1" width="3.109375" customWidth="1"/>
    <col min="2" max="2" width="4.6640625" customWidth="1"/>
    <col min="3" max="3" width="7.88671875" customWidth="1"/>
    <col min="7" max="7" width="2.77734375" customWidth="1"/>
    <col min="8" max="8" width="5.88671875" customWidth="1"/>
    <col min="9" max="9" width="18.33203125" customWidth="1"/>
    <col min="11" max="11" width="3.33203125" customWidth="1"/>
    <col min="14" max="14" width="7.77734375" customWidth="1"/>
    <col min="15" max="15" width="3.88671875" customWidth="1"/>
    <col min="16" max="16" width="22.21875" customWidth="1"/>
    <col min="17" max="17" width="7.77734375" customWidth="1"/>
    <col min="18" max="18" width="3.6640625" customWidth="1"/>
    <col min="19" max="20" width="7.77734375" customWidth="1"/>
    <col min="21" max="21" width="10.77734375" customWidth="1"/>
    <col min="22" max="22" width="5.33203125" customWidth="1"/>
    <col min="23" max="23" width="19.33203125" customWidth="1"/>
    <col min="25" max="25" width="4.109375" customWidth="1"/>
    <col min="28" max="28" width="8.5546875" customWidth="1"/>
    <col min="29" max="29" width="5.77734375" customWidth="1"/>
    <col min="30" max="30" width="24.109375" customWidth="1"/>
    <col min="32" max="32" width="5.5546875" customWidth="1"/>
  </cols>
  <sheetData>
    <row r="1" spans="1:36" x14ac:dyDescent="0.3"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</row>
    <row r="2" spans="1:36" x14ac:dyDescent="0.3">
      <c r="B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</row>
    <row r="3" spans="1:36" ht="21" x14ac:dyDescent="0.4">
      <c r="B3" s="148" t="s">
        <v>91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69" t="s">
        <v>93</v>
      </c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20"/>
      <c r="AE3" s="120"/>
    </row>
    <row r="4" spans="1:36" x14ac:dyDescent="0.3">
      <c r="B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</row>
    <row r="5" spans="1:36" ht="18.600000000000001" customHeight="1" x14ac:dyDescent="0.3">
      <c r="B5" s="165"/>
      <c r="C5" s="147" t="s">
        <v>66</v>
      </c>
      <c r="D5" s="62"/>
      <c r="E5" s="61"/>
      <c r="F5" s="61"/>
      <c r="G5" s="166"/>
      <c r="H5" s="167"/>
      <c r="I5" s="147" t="s">
        <v>78</v>
      </c>
      <c r="J5" s="62"/>
      <c r="K5" s="62"/>
      <c r="L5" s="62"/>
      <c r="M5" s="61"/>
      <c r="N5" s="153"/>
      <c r="O5" s="155"/>
      <c r="P5" s="147" t="s">
        <v>81</v>
      </c>
      <c r="Q5" s="149"/>
      <c r="R5" s="149"/>
      <c r="S5" s="149"/>
      <c r="T5" s="149"/>
      <c r="U5" s="156"/>
      <c r="V5" s="167"/>
      <c r="W5" s="147" t="s">
        <v>79</v>
      </c>
      <c r="X5" s="62"/>
      <c r="Y5" s="62"/>
      <c r="Z5" s="62"/>
      <c r="AA5" s="61"/>
      <c r="AB5" s="153"/>
      <c r="AC5" s="167"/>
      <c r="AD5" s="147" t="s">
        <v>65</v>
      </c>
      <c r="AE5" s="61"/>
      <c r="AF5" s="60"/>
    </row>
    <row r="6" spans="1:36" ht="18.600000000000001" customHeight="1" x14ac:dyDescent="0.3">
      <c r="B6" s="58"/>
      <c r="C6" s="55"/>
      <c r="D6" s="55"/>
      <c r="F6" s="57"/>
      <c r="G6" s="144"/>
      <c r="H6" s="134"/>
      <c r="I6" s="57"/>
      <c r="J6" s="55"/>
      <c r="K6" s="55"/>
      <c r="L6" s="55"/>
      <c r="N6" s="154"/>
      <c r="O6" s="157"/>
      <c r="P6" s="132"/>
      <c r="Q6" s="132"/>
      <c r="R6" s="132"/>
      <c r="S6" s="132"/>
      <c r="T6" s="132"/>
      <c r="U6" s="142"/>
      <c r="V6" s="134"/>
      <c r="W6" s="57"/>
      <c r="X6" s="55"/>
      <c r="Y6" s="55"/>
      <c r="Z6" s="55"/>
      <c r="AB6" s="154"/>
      <c r="AC6" s="160"/>
      <c r="AF6" s="54"/>
    </row>
    <row r="7" spans="1:36" ht="18.600000000000001" customHeight="1" x14ac:dyDescent="0.3">
      <c r="B7" s="58"/>
      <c r="C7" s="55" t="s">
        <v>54</v>
      </c>
      <c r="D7" s="55"/>
      <c r="E7" s="121" t="s">
        <v>55</v>
      </c>
      <c r="F7" s="122"/>
      <c r="G7" s="144"/>
      <c r="H7" s="134"/>
      <c r="I7" s="77" t="s">
        <v>31</v>
      </c>
      <c r="J7" s="87">
        <v>72</v>
      </c>
      <c r="K7" s="118"/>
      <c r="L7" s="118" t="s">
        <v>56</v>
      </c>
      <c r="M7" s="56"/>
      <c r="N7" s="141"/>
      <c r="O7" s="134"/>
      <c r="P7" s="77" t="s">
        <v>82</v>
      </c>
      <c r="Q7" s="87">
        <v>72</v>
      </c>
      <c r="R7" s="118"/>
      <c r="S7" s="118" t="s">
        <v>56</v>
      </c>
      <c r="T7" s="56"/>
      <c r="U7" s="141"/>
      <c r="V7" s="134"/>
      <c r="W7" s="77" t="s">
        <v>82</v>
      </c>
      <c r="X7" s="87">
        <v>84</v>
      </c>
      <c r="Y7" s="118"/>
      <c r="Z7" s="118" t="s">
        <v>83</v>
      </c>
      <c r="AA7" s="56"/>
      <c r="AB7" s="141"/>
      <c r="AC7" s="58"/>
      <c r="AD7" s="85" t="s">
        <v>43</v>
      </c>
      <c r="AE7" s="85"/>
      <c r="AF7" s="54"/>
      <c r="AH7" s="72" t="s">
        <v>58</v>
      </c>
    </row>
    <row r="8" spans="1:36" ht="18.600000000000001" customHeight="1" x14ac:dyDescent="0.3">
      <c r="A8" s="3"/>
      <c r="B8" s="44"/>
      <c r="C8" s="73" t="s">
        <v>30</v>
      </c>
      <c r="D8" s="3"/>
      <c r="E8" s="73">
        <f>E10/E9%</f>
        <v>1724.1379310344828</v>
      </c>
      <c r="F8" s="3"/>
      <c r="G8" s="144"/>
      <c r="H8" s="134"/>
      <c r="I8" s="76" t="s">
        <v>30</v>
      </c>
      <c r="J8" s="76">
        <f>J10+J20</f>
        <v>1155.7168784029038</v>
      </c>
      <c r="K8" s="3"/>
      <c r="L8" s="72" t="s">
        <v>39</v>
      </c>
      <c r="M8" s="3"/>
      <c r="N8" s="41"/>
      <c r="O8" s="134"/>
      <c r="P8" s="76" t="s">
        <v>30</v>
      </c>
      <c r="Q8" s="76">
        <f>Q10/Q9%</f>
        <v>500</v>
      </c>
      <c r="R8" s="3"/>
      <c r="S8" s="72" t="s">
        <v>39</v>
      </c>
      <c r="T8" s="3"/>
      <c r="U8" s="41"/>
      <c r="V8" s="134"/>
      <c r="W8" s="76" t="s">
        <v>30</v>
      </c>
      <c r="X8" s="76">
        <f>X10/X9%</f>
        <v>405.24207852602905</v>
      </c>
      <c r="Y8" s="3"/>
      <c r="Z8" s="72" t="s">
        <v>39</v>
      </c>
      <c r="AA8" s="3"/>
      <c r="AB8" s="41"/>
      <c r="AC8" s="134"/>
      <c r="AD8" s="77" t="s">
        <v>36</v>
      </c>
      <c r="AE8" s="86">
        <v>4.5</v>
      </c>
      <c r="AF8" s="41"/>
      <c r="AG8" s="3"/>
      <c r="AH8" s="72" t="s">
        <v>57</v>
      </c>
      <c r="AI8" s="3"/>
      <c r="AJ8" s="3"/>
    </row>
    <row r="9" spans="1:36" ht="18.600000000000001" customHeight="1" x14ac:dyDescent="0.3">
      <c r="A9" s="3"/>
      <c r="B9" s="44"/>
      <c r="C9" s="73" t="s">
        <v>29</v>
      </c>
      <c r="D9" s="3"/>
      <c r="E9" s="74">
        <v>58</v>
      </c>
      <c r="F9" s="3"/>
      <c r="G9" s="144"/>
      <c r="H9" s="134"/>
      <c r="I9" s="77" t="s">
        <v>29</v>
      </c>
      <c r="J9" s="78">
        <f>J10/J8%</f>
        <v>39.802135678391963</v>
      </c>
      <c r="K9" s="3"/>
      <c r="L9" s="52" t="s">
        <v>42</v>
      </c>
      <c r="M9" s="3"/>
      <c r="N9" s="41"/>
      <c r="O9" s="134"/>
      <c r="P9" s="77" t="s">
        <v>29</v>
      </c>
      <c r="Q9" s="86">
        <v>92</v>
      </c>
      <c r="R9" s="3"/>
      <c r="S9" s="52" t="s">
        <v>75</v>
      </c>
      <c r="T9" s="3"/>
      <c r="U9" s="41"/>
      <c r="V9" s="134"/>
      <c r="W9" s="77" t="s">
        <v>29</v>
      </c>
      <c r="X9" s="86">
        <v>91.303450358804383</v>
      </c>
      <c r="Y9" s="3"/>
      <c r="Z9" s="52" t="s">
        <v>68</v>
      </c>
      <c r="AA9" s="3"/>
      <c r="AB9" s="41"/>
      <c r="AC9" s="134"/>
      <c r="AD9" s="76" t="s">
        <v>29</v>
      </c>
      <c r="AE9" s="164">
        <f>100-AE27</f>
        <v>95.227099181556014</v>
      </c>
      <c r="AF9" s="41"/>
      <c r="AG9" s="3"/>
      <c r="AH9" s="3"/>
      <c r="AI9" s="3"/>
      <c r="AJ9" s="3"/>
    </row>
    <row r="10" spans="1:36" ht="18.600000000000001" customHeight="1" x14ac:dyDescent="0.3">
      <c r="A10" s="3"/>
      <c r="B10" s="44"/>
      <c r="C10" s="73" t="s">
        <v>28</v>
      </c>
      <c r="D10" s="3"/>
      <c r="E10" s="115">
        <v>1000</v>
      </c>
      <c r="F10" s="3"/>
      <c r="G10" s="144"/>
      <c r="H10" s="134"/>
      <c r="I10" s="76" t="s">
        <v>28</v>
      </c>
      <c r="J10" s="76">
        <f>J15+J16+J17+J18+J19</f>
        <v>460</v>
      </c>
      <c r="K10" s="3"/>
      <c r="L10" s="72" t="s">
        <v>39</v>
      </c>
      <c r="M10" s="3"/>
      <c r="N10" s="41"/>
      <c r="O10" s="134"/>
      <c r="P10" s="76" t="s">
        <v>28</v>
      </c>
      <c r="Q10" s="76">
        <f>Q15+Q16+Q17+Q18+Q19</f>
        <v>460</v>
      </c>
      <c r="R10" s="3"/>
      <c r="S10" s="72" t="s">
        <v>39</v>
      </c>
      <c r="T10" s="3"/>
      <c r="U10" s="41"/>
      <c r="V10" s="134"/>
      <c r="W10" s="76" t="s">
        <v>28</v>
      </c>
      <c r="X10" s="76">
        <f>X15+X16+X17+X18+X19</f>
        <v>370</v>
      </c>
      <c r="Y10" s="3"/>
      <c r="Z10" s="72" t="s">
        <v>39</v>
      </c>
      <c r="AA10" s="3"/>
      <c r="AB10" s="41"/>
      <c r="AC10" s="134"/>
      <c r="AD10" s="76" t="s">
        <v>28</v>
      </c>
      <c r="AE10" s="76">
        <f>E10</f>
        <v>1000</v>
      </c>
      <c r="AF10" s="41"/>
      <c r="AG10" s="3"/>
      <c r="AH10" s="3"/>
      <c r="AI10" s="3"/>
      <c r="AJ10" s="3"/>
    </row>
    <row r="11" spans="1:36" ht="18.600000000000001" customHeight="1" x14ac:dyDescent="0.3">
      <c r="A11" s="3"/>
      <c r="B11" s="44"/>
      <c r="C11" s="73"/>
      <c r="D11" s="3"/>
      <c r="E11" s="3"/>
      <c r="F11" s="3"/>
      <c r="G11" s="144"/>
      <c r="H11" s="134"/>
      <c r="I11" s="79" t="s">
        <v>89</v>
      </c>
      <c r="J11" s="79">
        <v>20</v>
      </c>
      <c r="K11" s="3"/>
      <c r="L11" s="3"/>
      <c r="M11" s="3"/>
      <c r="N11" s="41"/>
      <c r="O11" s="134"/>
      <c r="P11" s="79" t="s">
        <v>85</v>
      </c>
      <c r="Q11" s="79" t="s">
        <v>88</v>
      </c>
      <c r="R11" s="163"/>
      <c r="S11" s="163" t="s">
        <v>84</v>
      </c>
      <c r="T11" s="163"/>
      <c r="U11" s="41"/>
      <c r="V11" s="134"/>
      <c r="W11" s="79"/>
      <c r="X11" s="79"/>
      <c r="Y11" s="3"/>
      <c r="Z11" s="3"/>
      <c r="AA11" s="3"/>
      <c r="AB11" s="41"/>
      <c r="AC11" s="134"/>
      <c r="AD11" s="79" t="s">
        <v>87</v>
      </c>
      <c r="AE11" s="73" t="s">
        <v>86</v>
      </c>
      <c r="AF11" s="41"/>
      <c r="AG11" s="3"/>
      <c r="AH11" s="3"/>
      <c r="AI11" s="3"/>
      <c r="AJ11" s="3"/>
    </row>
    <row r="12" spans="1:36" ht="18.600000000000001" customHeight="1" x14ac:dyDescent="0.3">
      <c r="A12" s="3"/>
      <c r="B12" s="44"/>
      <c r="C12" s="73"/>
      <c r="D12" s="3"/>
      <c r="E12" s="3"/>
      <c r="F12" s="3"/>
      <c r="G12" s="144"/>
      <c r="H12" s="134"/>
      <c r="I12" s="79"/>
      <c r="J12" s="79"/>
      <c r="K12" s="3"/>
      <c r="L12" s="3"/>
      <c r="M12" s="3"/>
      <c r="N12" s="41"/>
      <c r="O12" s="134"/>
      <c r="P12" s="79"/>
      <c r="Q12" s="79"/>
      <c r="R12" s="163"/>
      <c r="S12" s="163" t="s">
        <v>90</v>
      </c>
      <c r="T12" s="163"/>
      <c r="U12" s="41"/>
      <c r="V12" s="134"/>
      <c r="W12" s="79"/>
      <c r="X12" s="79"/>
      <c r="Y12" s="3"/>
      <c r="Z12" s="3"/>
      <c r="AA12" s="3"/>
      <c r="AB12" s="41"/>
      <c r="AC12" s="134"/>
      <c r="AD12" s="79"/>
      <c r="AE12" s="73"/>
      <c r="AF12" s="41"/>
      <c r="AG12" s="3"/>
      <c r="AH12" s="3"/>
      <c r="AI12" s="3"/>
      <c r="AJ12" s="3"/>
    </row>
    <row r="13" spans="1:36" ht="18.600000000000001" customHeight="1" x14ac:dyDescent="0.3">
      <c r="A13" s="3"/>
      <c r="B13" s="44"/>
      <c r="C13" s="116" t="s">
        <v>38</v>
      </c>
      <c r="D13" s="3"/>
      <c r="E13" s="82"/>
      <c r="F13" s="3"/>
      <c r="G13" s="144"/>
      <c r="H13" s="134"/>
      <c r="I13" s="116" t="s">
        <v>38</v>
      </c>
      <c r="J13" s="79"/>
      <c r="K13" s="3"/>
      <c r="L13" s="3"/>
      <c r="M13" s="3"/>
      <c r="N13" s="41"/>
      <c r="O13" s="134"/>
      <c r="P13" s="116" t="s">
        <v>38</v>
      </c>
      <c r="Q13" s="79"/>
      <c r="R13" s="3"/>
      <c r="S13" s="3"/>
      <c r="T13" s="3"/>
      <c r="U13" s="41"/>
      <c r="V13" s="134"/>
      <c r="W13" s="116" t="s">
        <v>38</v>
      </c>
      <c r="X13" s="79"/>
      <c r="Y13" s="3"/>
      <c r="Z13" s="3"/>
      <c r="AA13" s="3"/>
      <c r="AB13" s="41"/>
      <c r="AC13" s="134"/>
      <c r="AD13" s="116" t="s">
        <v>38</v>
      </c>
      <c r="AE13" s="73"/>
      <c r="AF13" s="41"/>
      <c r="AG13" s="3"/>
      <c r="AH13" s="3"/>
      <c r="AI13" s="3"/>
      <c r="AJ13" s="3"/>
    </row>
    <row r="14" spans="1:36" ht="18.600000000000001" customHeight="1" x14ac:dyDescent="0.3">
      <c r="A14" s="3"/>
      <c r="B14" s="44"/>
      <c r="C14" s="116"/>
      <c r="D14" s="3"/>
      <c r="E14" s="82"/>
      <c r="F14" s="3"/>
      <c r="G14" s="144"/>
      <c r="H14" s="134"/>
      <c r="I14" s="116"/>
      <c r="J14" s="79"/>
      <c r="K14" s="3"/>
      <c r="L14" s="3"/>
      <c r="M14" s="3"/>
      <c r="N14" s="41"/>
      <c r="O14" s="134"/>
      <c r="P14" s="116"/>
      <c r="Q14" s="79"/>
      <c r="R14" s="3"/>
      <c r="S14" s="3"/>
      <c r="T14" s="3"/>
      <c r="U14" s="41"/>
      <c r="V14" s="134"/>
      <c r="W14" s="116"/>
      <c r="X14" s="79"/>
      <c r="Y14" s="3"/>
      <c r="Z14" s="3"/>
      <c r="AA14" s="3"/>
      <c r="AB14" s="41"/>
      <c r="AC14" s="134"/>
      <c r="AD14" s="116"/>
      <c r="AE14" s="73"/>
      <c r="AF14" s="41"/>
      <c r="AG14" s="3"/>
      <c r="AH14" s="3"/>
      <c r="AI14" s="3"/>
      <c r="AJ14" s="3"/>
    </row>
    <row r="15" spans="1:36" ht="18.600000000000001" customHeight="1" x14ac:dyDescent="0.3">
      <c r="A15" s="3"/>
      <c r="B15" s="44"/>
      <c r="C15" s="4"/>
      <c r="D15" s="4"/>
      <c r="E15" s="43" t="s">
        <v>27</v>
      </c>
      <c r="F15" s="75">
        <v>135</v>
      </c>
      <c r="G15" s="144"/>
      <c r="H15" s="134"/>
      <c r="I15" s="43" t="s">
        <v>27</v>
      </c>
      <c r="J15" s="43">
        <f>F15</f>
        <v>135</v>
      </c>
      <c r="K15" s="42"/>
      <c r="L15" s="3"/>
      <c r="M15" s="46"/>
      <c r="N15" s="143"/>
      <c r="O15" s="134"/>
      <c r="P15" s="43" t="s">
        <v>27</v>
      </c>
      <c r="Q15" s="43">
        <f>J15</f>
        <v>135</v>
      </c>
      <c r="R15" s="42"/>
      <c r="S15" s="3"/>
      <c r="T15" s="46"/>
      <c r="U15" s="143"/>
      <c r="V15" s="134"/>
      <c r="W15" s="43" t="s">
        <v>27</v>
      </c>
      <c r="X15" s="43">
        <f>F15</f>
        <v>135</v>
      </c>
      <c r="Y15" s="42"/>
      <c r="Z15" s="3"/>
      <c r="AA15" s="46"/>
      <c r="AB15" s="143"/>
      <c r="AC15" s="134"/>
      <c r="AD15" s="43" t="s">
        <v>27</v>
      </c>
      <c r="AE15" s="43">
        <f>J15</f>
        <v>135</v>
      </c>
      <c r="AF15" s="41"/>
      <c r="AG15" s="3"/>
      <c r="AH15" s="124">
        <f>(AE15/(100-6.4)%)-AE15</f>
        <v>9.2307692307692264</v>
      </c>
      <c r="AI15" s="3" t="s">
        <v>63</v>
      </c>
      <c r="AJ15" s="3"/>
    </row>
    <row r="16" spans="1:36" ht="18.600000000000001" customHeight="1" x14ac:dyDescent="0.3">
      <c r="A16" s="3"/>
      <c r="B16" s="44"/>
      <c r="C16" s="4"/>
      <c r="D16" s="4"/>
      <c r="E16" s="43" t="s">
        <v>26</v>
      </c>
      <c r="F16" s="75">
        <v>81</v>
      </c>
      <c r="G16" s="144"/>
      <c r="H16" s="134"/>
      <c r="I16" s="43" t="s">
        <v>26</v>
      </c>
      <c r="J16" s="43">
        <f>F16</f>
        <v>81</v>
      </c>
      <c r="K16" s="4"/>
      <c r="L16" s="3"/>
      <c r="M16" s="4"/>
      <c r="N16" s="144"/>
      <c r="O16" s="134"/>
      <c r="P16" s="43" t="s">
        <v>26</v>
      </c>
      <c r="Q16" s="43">
        <f t="shared" ref="Q16:Q18" si="0">J16</f>
        <v>81</v>
      </c>
      <c r="R16" s="4"/>
      <c r="S16" s="3"/>
      <c r="T16" s="4"/>
      <c r="U16" s="144"/>
      <c r="V16" s="134"/>
      <c r="W16" s="43" t="s">
        <v>26</v>
      </c>
      <c r="X16" s="43">
        <f>F16</f>
        <v>81</v>
      </c>
      <c r="Y16" s="4"/>
      <c r="Z16" s="3"/>
      <c r="AA16" s="4"/>
      <c r="AB16" s="144"/>
      <c r="AC16" s="134"/>
      <c r="AD16" s="43" t="s">
        <v>26</v>
      </c>
      <c r="AE16" s="43">
        <f>J16</f>
        <v>81</v>
      </c>
      <c r="AF16" s="41"/>
      <c r="AG16" s="3"/>
      <c r="AH16" s="124">
        <f>(AE16/(100-6.4)%)-AE16</f>
        <v>5.5384615384615472</v>
      </c>
      <c r="AI16" s="3" t="s">
        <v>64</v>
      </c>
      <c r="AJ16" s="3"/>
    </row>
    <row r="17" spans="1:36" ht="18.600000000000001" customHeight="1" x14ac:dyDescent="0.3">
      <c r="A17" s="3"/>
      <c r="B17" s="44"/>
      <c r="C17" s="4"/>
      <c r="D17" s="4"/>
      <c r="E17" s="43" t="s">
        <v>25</v>
      </c>
      <c r="F17" s="75">
        <v>10</v>
      </c>
      <c r="G17" s="144"/>
      <c r="H17" s="134"/>
      <c r="I17" s="43" t="s">
        <v>25</v>
      </c>
      <c r="J17" s="43">
        <f>F17</f>
        <v>10</v>
      </c>
      <c r="K17" s="4"/>
      <c r="L17" s="3"/>
      <c r="M17" s="4"/>
      <c r="N17" s="144"/>
      <c r="O17" s="134"/>
      <c r="P17" s="43" t="s">
        <v>25</v>
      </c>
      <c r="Q17" s="43">
        <f t="shared" si="0"/>
        <v>10</v>
      </c>
      <c r="R17" s="4"/>
      <c r="S17" s="3"/>
      <c r="T17" s="4"/>
      <c r="U17" s="144"/>
      <c r="V17" s="134"/>
      <c r="W17" s="43" t="s">
        <v>25</v>
      </c>
      <c r="X17" s="43">
        <f>F17</f>
        <v>10</v>
      </c>
      <c r="Y17" s="4"/>
      <c r="Z17" s="3"/>
      <c r="AA17" s="4"/>
      <c r="AB17" s="144"/>
      <c r="AC17" s="134"/>
      <c r="AD17" s="43" t="s">
        <v>25</v>
      </c>
      <c r="AE17" s="43">
        <f>J17</f>
        <v>10</v>
      </c>
      <c r="AF17" s="41"/>
      <c r="AG17" s="3"/>
      <c r="AH17" s="3"/>
      <c r="AI17" s="3"/>
      <c r="AJ17" s="3"/>
    </row>
    <row r="18" spans="1:36" ht="18.600000000000001" customHeight="1" x14ac:dyDescent="0.3">
      <c r="A18" s="3"/>
      <c r="B18" s="44"/>
      <c r="C18" s="4"/>
      <c r="D18" s="4"/>
      <c r="E18" s="43" t="s">
        <v>24</v>
      </c>
      <c r="F18" s="43">
        <f>E10-F15-F16-F17-F19</f>
        <v>24</v>
      </c>
      <c r="G18" s="144"/>
      <c r="H18" s="134"/>
      <c r="I18" s="43" t="s">
        <v>24</v>
      </c>
      <c r="J18" s="43">
        <f>F18</f>
        <v>24</v>
      </c>
      <c r="K18" s="4"/>
      <c r="L18" s="3"/>
      <c r="M18" s="4"/>
      <c r="N18" s="144"/>
      <c r="O18" s="134"/>
      <c r="P18" s="43" t="s">
        <v>24</v>
      </c>
      <c r="Q18" s="43">
        <f t="shared" si="0"/>
        <v>24</v>
      </c>
      <c r="R18" s="4"/>
      <c r="S18" s="3"/>
      <c r="T18" s="4"/>
      <c r="U18" s="144"/>
      <c r="V18" s="134"/>
      <c r="W18" s="43" t="s">
        <v>24</v>
      </c>
      <c r="X18" s="43">
        <f>F18</f>
        <v>24</v>
      </c>
      <c r="Y18" s="4"/>
      <c r="Z18" s="3"/>
      <c r="AA18" s="4"/>
      <c r="AB18" s="144"/>
      <c r="AC18" s="134"/>
      <c r="AD18" s="43" t="s">
        <v>24</v>
      </c>
      <c r="AE18" s="43">
        <f>J18</f>
        <v>24</v>
      </c>
      <c r="AF18" s="41"/>
      <c r="AG18" s="3"/>
      <c r="AH18" s="3"/>
      <c r="AI18" s="3"/>
      <c r="AJ18" s="3"/>
    </row>
    <row r="19" spans="1:36" ht="18.600000000000001" customHeight="1" x14ac:dyDescent="0.3">
      <c r="A19" s="3"/>
      <c r="B19" s="44"/>
      <c r="C19" s="4"/>
      <c r="D19" s="4"/>
      <c r="E19" s="43" t="s">
        <v>23</v>
      </c>
      <c r="F19" s="75">
        <v>750</v>
      </c>
      <c r="G19" s="144"/>
      <c r="H19" s="134"/>
      <c r="I19" s="46" t="s">
        <v>23</v>
      </c>
      <c r="J19" s="46">
        <f>F19-(F19*J7%)</f>
        <v>210</v>
      </c>
      <c r="K19" s="3"/>
      <c r="L19" s="35" t="s">
        <v>22</v>
      </c>
      <c r="M19" s="4"/>
      <c r="N19" s="144"/>
      <c r="O19" s="134"/>
      <c r="P19" s="46" t="s">
        <v>23</v>
      </c>
      <c r="Q19" s="46">
        <f>F19-(F19*Q7%)</f>
        <v>210</v>
      </c>
      <c r="R19" s="3"/>
      <c r="S19" s="35" t="s">
        <v>22</v>
      </c>
      <c r="T19" s="4"/>
      <c r="U19" s="144"/>
      <c r="V19" s="134"/>
      <c r="W19" s="46" t="s">
        <v>23</v>
      </c>
      <c r="X19" s="46">
        <f>F19-(F19*X7%)</f>
        <v>120</v>
      </c>
      <c r="Y19" s="3"/>
      <c r="Z19" s="35" t="s">
        <v>22</v>
      </c>
      <c r="AA19" s="4"/>
      <c r="AB19" s="144"/>
      <c r="AC19" s="134"/>
      <c r="AD19" s="46" t="s">
        <v>35</v>
      </c>
      <c r="AE19" s="46">
        <f>X19</f>
        <v>120</v>
      </c>
      <c r="AF19" s="41"/>
      <c r="AG19" s="3"/>
      <c r="AH19" s="125">
        <f>AH20/(AE19+AH20)%</f>
        <v>1.7956019617149119</v>
      </c>
      <c r="AI19" s="126" t="s">
        <v>60</v>
      </c>
      <c r="AJ19" s="126" t="s">
        <v>62</v>
      </c>
    </row>
    <row r="20" spans="1:36" ht="18.600000000000001" customHeight="1" x14ac:dyDescent="0.3">
      <c r="A20" s="3"/>
      <c r="B20" s="44"/>
      <c r="C20" s="4"/>
      <c r="D20" s="4"/>
      <c r="E20" s="50" t="s">
        <v>21</v>
      </c>
      <c r="F20" s="50">
        <f>E8-E10</f>
        <v>724.13793103448279</v>
      </c>
      <c r="G20" s="150"/>
      <c r="H20" s="135"/>
      <c r="I20" s="50" t="s">
        <v>21</v>
      </c>
      <c r="J20" s="50">
        <f>F20-J23</f>
        <v>695.71687840290383</v>
      </c>
      <c r="K20" s="48"/>
      <c r="L20" s="3"/>
      <c r="M20" s="4"/>
      <c r="N20" s="144"/>
      <c r="O20" s="135"/>
      <c r="P20" s="50" t="s">
        <v>21</v>
      </c>
      <c r="Q20" s="50">
        <f>Q8-Q10</f>
        <v>40</v>
      </c>
      <c r="R20" s="48"/>
      <c r="S20" s="3"/>
      <c r="T20" s="4"/>
      <c r="U20" s="144"/>
      <c r="V20" s="135"/>
      <c r="W20" s="50" t="s">
        <v>21</v>
      </c>
      <c r="X20" s="50">
        <f>X8-X10</f>
        <v>35.242078526029047</v>
      </c>
      <c r="Y20" s="48"/>
      <c r="Z20" s="136"/>
      <c r="AA20" s="4"/>
      <c r="AB20" s="144"/>
      <c r="AC20" s="135"/>
      <c r="AD20" s="50" t="s">
        <v>21</v>
      </c>
      <c r="AE20" s="50">
        <f>(AE15+AE16+AE18+AE19)/(100-AE8)%-(AE15+AE16+AE18+AE19)</f>
        <v>16.96335078534031</v>
      </c>
      <c r="AF20" s="41"/>
      <c r="AG20" s="3"/>
      <c r="AH20" s="50">
        <f>AE20-AH15-AH16</f>
        <v>2.1941200161095367</v>
      </c>
      <c r="AI20" s="127" t="s">
        <v>61</v>
      </c>
      <c r="AJ20" s="3"/>
    </row>
    <row r="21" spans="1:36" ht="18.600000000000001" customHeight="1" x14ac:dyDescent="0.3">
      <c r="A21" s="3"/>
      <c r="B21" s="44"/>
      <c r="C21" s="4"/>
      <c r="D21" s="4"/>
      <c r="E21" s="50"/>
      <c r="F21" s="49"/>
      <c r="G21" s="144"/>
      <c r="H21" s="134"/>
      <c r="I21" s="50"/>
      <c r="J21" s="49"/>
      <c r="K21" s="48"/>
      <c r="L21" s="3"/>
      <c r="M21" s="4"/>
      <c r="N21" s="144"/>
      <c r="O21" s="134"/>
      <c r="P21" s="50"/>
      <c r="Q21" s="49"/>
      <c r="R21" s="48"/>
      <c r="S21" s="3"/>
      <c r="T21" s="4"/>
      <c r="U21" s="144"/>
      <c r="V21" s="134"/>
      <c r="W21" s="50"/>
      <c r="X21" s="49"/>
      <c r="Y21" s="48"/>
      <c r="Z21" s="3"/>
      <c r="AA21" s="4"/>
      <c r="AB21" s="144"/>
      <c r="AC21" s="134"/>
      <c r="AD21" s="50"/>
      <c r="AE21" s="80"/>
      <c r="AF21" s="41"/>
      <c r="AG21" s="3"/>
      <c r="AH21" s="3"/>
      <c r="AI21" s="3"/>
      <c r="AJ21" s="3"/>
    </row>
    <row r="22" spans="1:36" ht="18.600000000000001" customHeight="1" x14ac:dyDescent="0.3">
      <c r="A22" s="3"/>
      <c r="B22" s="44"/>
      <c r="C22" s="4"/>
      <c r="D22" s="4"/>
      <c r="E22" s="4"/>
      <c r="F22" s="4"/>
      <c r="G22" s="143"/>
      <c r="H22" s="137"/>
      <c r="I22" s="46" t="s">
        <v>20</v>
      </c>
      <c r="J22" s="46">
        <f>F19-J19</f>
        <v>540</v>
      </c>
      <c r="K22" s="35"/>
      <c r="L22" s="76" t="s">
        <v>19</v>
      </c>
      <c r="M22" s="3"/>
      <c r="N22" s="143">
        <f>J22+J23</f>
        <v>568.42105263157896</v>
      </c>
      <c r="O22" s="137"/>
      <c r="P22" s="46" t="s">
        <v>20</v>
      </c>
      <c r="Q22" s="46">
        <f>F19-Q19</f>
        <v>540</v>
      </c>
      <c r="R22" s="35"/>
      <c r="S22" s="76" t="s">
        <v>19</v>
      </c>
      <c r="T22" s="3"/>
      <c r="U22" s="143">
        <f>Q22+Q23</f>
        <v>568.42105263157896</v>
      </c>
      <c r="V22" s="137"/>
      <c r="W22" s="46" t="s">
        <v>20</v>
      </c>
      <c r="X22" s="46">
        <f>F19-X19</f>
        <v>630</v>
      </c>
      <c r="Y22" s="35"/>
      <c r="Z22" s="76" t="s">
        <v>19</v>
      </c>
      <c r="AA22" s="3"/>
      <c r="AB22" s="143">
        <f>X22+X23</f>
        <v>663.15789473684208</v>
      </c>
      <c r="AC22" s="161"/>
      <c r="AD22" s="51" t="s">
        <v>20</v>
      </c>
      <c r="AE22" s="51">
        <f>X22</f>
        <v>630</v>
      </c>
      <c r="AF22" s="41"/>
      <c r="AG22" s="3"/>
      <c r="AH22" s="3"/>
      <c r="AI22" s="3"/>
      <c r="AJ22" s="3"/>
    </row>
    <row r="23" spans="1:36" ht="18.600000000000001" customHeight="1" x14ac:dyDescent="0.3">
      <c r="A23" s="3"/>
      <c r="B23" s="44"/>
      <c r="C23" s="4"/>
      <c r="D23" s="4"/>
      <c r="E23" s="4"/>
      <c r="F23" s="4"/>
      <c r="G23" s="143"/>
      <c r="H23" s="137"/>
      <c r="I23" s="46" t="s">
        <v>18</v>
      </c>
      <c r="J23" s="46">
        <f>(J22/0.95)-J22</f>
        <v>28.421052631578959</v>
      </c>
      <c r="K23" s="35"/>
      <c r="L23" s="76" t="s">
        <v>17</v>
      </c>
      <c r="M23" s="3"/>
      <c r="N23" s="145">
        <f>J23/N22%</f>
        <v>5.0000000000000018</v>
      </c>
      <c r="O23" s="137"/>
      <c r="P23" s="46" t="s">
        <v>18</v>
      </c>
      <c r="Q23" s="46">
        <f>(Q22/0.95)-Q22</f>
        <v>28.421052631578959</v>
      </c>
      <c r="R23" s="35"/>
      <c r="S23" s="76" t="s">
        <v>17</v>
      </c>
      <c r="T23" s="3"/>
      <c r="U23" s="145">
        <f>Q23/U22%</f>
        <v>5.0000000000000018</v>
      </c>
      <c r="V23" s="137"/>
      <c r="W23" s="46" t="s">
        <v>18</v>
      </c>
      <c r="X23" s="46">
        <f>(X22/0.95)-X22</f>
        <v>33.157894736842081</v>
      </c>
      <c r="Y23" s="35"/>
      <c r="Z23" s="76" t="s">
        <v>17</v>
      </c>
      <c r="AA23" s="3"/>
      <c r="AB23" s="145">
        <f>X23/AB22%</f>
        <v>4.9999999999999964</v>
      </c>
      <c r="AC23" s="161"/>
      <c r="AD23" s="50" t="s">
        <v>18</v>
      </c>
      <c r="AE23" s="50">
        <f>X23</f>
        <v>33.157894736842081</v>
      </c>
      <c r="AF23" s="41"/>
      <c r="AG23" s="3"/>
      <c r="AH23" s="3"/>
      <c r="AI23" s="3"/>
      <c r="AJ23" s="3"/>
    </row>
    <row r="24" spans="1:36" ht="18.600000000000001" customHeight="1" x14ac:dyDescent="0.3">
      <c r="A24" s="3"/>
      <c r="B24" s="44"/>
      <c r="C24" s="4"/>
      <c r="D24" s="4"/>
      <c r="E24" s="4"/>
      <c r="F24" s="4"/>
      <c r="G24" s="143"/>
      <c r="H24" s="137"/>
      <c r="I24" s="46"/>
      <c r="J24" s="47"/>
      <c r="K24" s="35"/>
      <c r="L24" s="76" t="s">
        <v>16</v>
      </c>
      <c r="M24" s="3"/>
      <c r="N24" s="145"/>
      <c r="O24" s="137"/>
      <c r="P24" s="46"/>
      <c r="Q24" s="47"/>
      <c r="R24" s="35"/>
      <c r="S24" s="76" t="s">
        <v>16</v>
      </c>
      <c r="T24" s="3"/>
      <c r="U24" s="145"/>
      <c r="V24" s="137"/>
      <c r="W24" s="46"/>
      <c r="X24" s="47"/>
      <c r="Y24" s="35"/>
      <c r="Z24" s="76" t="s">
        <v>16</v>
      </c>
      <c r="AA24" s="3"/>
      <c r="AB24" s="145"/>
      <c r="AC24" s="162"/>
      <c r="AD24" s="46"/>
      <c r="AE24" s="43"/>
      <c r="AF24" s="41"/>
      <c r="AG24" s="3"/>
      <c r="AH24" s="3"/>
      <c r="AI24" s="3"/>
      <c r="AJ24" s="3"/>
    </row>
    <row r="25" spans="1:36" ht="18.600000000000001" customHeight="1" x14ac:dyDescent="0.3">
      <c r="A25" s="3"/>
      <c r="B25" s="44"/>
      <c r="C25" s="4"/>
      <c r="D25" s="4"/>
      <c r="E25" s="68" t="s">
        <v>33</v>
      </c>
      <c r="F25" s="69">
        <f>E10</f>
        <v>1000</v>
      </c>
      <c r="G25" s="146"/>
      <c r="H25" s="44"/>
      <c r="I25" s="68" t="s">
        <v>53</v>
      </c>
      <c r="J25" s="68">
        <f>J10+J22+J23</f>
        <v>1028.421052631579</v>
      </c>
      <c r="K25" s="4"/>
      <c r="L25" s="3"/>
      <c r="M25" s="3"/>
      <c r="N25" s="146"/>
      <c r="O25" s="44"/>
      <c r="P25" s="68" t="s">
        <v>53</v>
      </c>
      <c r="Q25" s="68">
        <f>Q15+Q16+Q17+Q18+Q19+Q20+Q22+Q23</f>
        <v>1068.421052631579</v>
      </c>
      <c r="R25" s="4"/>
      <c r="S25" s="3"/>
      <c r="T25" s="3"/>
      <c r="U25" s="146"/>
      <c r="V25" s="44"/>
      <c r="W25" s="68" t="s">
        <v>53</v>
      </c>
      <c r="X25" s="68">
        <f>X15+X16+X17+X18+X19+X20+X22+X23</f>
        <v>1068.3999732628711</v>
      </c>
      <c r="Y25" s="4"/>
      <c r="Z25" s="3"/>
      <c r="AA25" s="3"/>
      <c r="AB25" s="146"/>
      <c r="AC25" s="44"/>
      <c r="AD25" s="68" t="s">
        <v>32</v>
      </c>
      <c r="AE25" s="68">
        <f>AE15+AE16+AE17+AE18+AE19+AE20+AE22+AE23</f>
        <v>1050.1212455221823</v>
      </c>
      <c r="AF25" s="41"/>
      <c r="AG25" s="3"/>
      <c r="AH25" s="126" t="s">
        <v>50</v>
      </c>
      <c r="AI25" s="3"/>
      <c r="AJ25" s="3"/>
    </row>
    <row r="26" spans="1:36" ht="18.600000000000001" customHeight="1" x14ac:dyDescent="0.3">
      <c r="A26" s="3"/>
      <c r="B26" s="44"/>
      <c r="C26" s="4"/>
      <c r="D26" s="4"/>
      <c r="E26" s="4"/>
      <c r="F26" s="4"/>
      <c r="G26" s="146"/>
      <c r="H26" s="44"/>
      <c r="I26" s="68"/>
      <c r="J26" s="69"/>
      <c r="K26" s="4"/>
      <c r="L26" s="3"/>
      <c r="M26" s="46"/>
      <c r="N26" s="146"/>
      <c r="O26" s="158"/>
      <c r="P26" s="3"/>
      <c r="Q26" s="3"/>
      <c r="R26" s="3"/>
      <c r="S26" s="3"/>
      <c r="T26" s="3"/>
      <c r="U26" s="41"/>
      <c r="V26" s="44"/>
      <c r="W26" s="68"/>
      <c r="X26" s="69"/>
      <c r="Y26" s="4"/>
      <c r="Z26" s="3"/>
      <c r="AA26" s="46"/>
      <c r="AB26" s="146"/>
      <c r="AC26" s="44"/>
      <c r="AD26" s="68"/>
      <c r="AE26" s="68"/>
      <c r="AF26" s="41"/>
      <c r="AG26" s="3"/>
      <c r="AH26" s="3"/>
      <c r="AI26" s="3"/>
      <c r="AJ26" s="3"/>
    </row>
    <row r="27" spans="1:36" ht="18.600000000000001" customHeight="1" x14ac:dyDescent="0.3">
      <c r="A27" s="3"/>
      <c r="B27" s="44"/>
      <c r="C27" s="4"/>
      <c r="D27" s="4"/>
      <c r="E27" s="53" t="s">
        <v>52</v>
      </c>
      <c r="F27" s="112">
        <f>F19/F20%</f>
        <v>103.57142857142856</v>
      </c>
      <c r="G27" s="151"/>
      <c r="H27" s="138"/>
      <c r="I27" s="53" t="s">
        <v>15</v>
      </c>
      <c r="J27" s="53">
        <f>J19/J20%</f>
        <v>30.184692440131474</v>
      </c>
      <c r="K27" s="3"/>
      <c r="L27" s="52" t="s">
        <v>51</v>
      </c>
      <c r="M27" s="4"/>
      <c r="N27" s="146"/>
      <c r="O27" s="158"/>
      <c r="P27" s="53" t="s">
        <v>67</v>
      </c>
      <c r="Q27" s="139">
        <f>(Q23+Q20)/(Q10+Q22+Q20+Q23)%</f>
        <v>6.4039408866995089</v>
      </c>
      <c r="R27" s="3"/>
      <c r="S27" s="133">
        <f>Q20+Q23</f>
        <v>68.421052631578959</v>
      </c>
      <c r="T27" s="126" t="s">
        <v>77</v>
      </c>
      <c r="U27" s="41"/>
      <c r="V27" s="138"/>
      <c r="W27" s="53" t="s">
        <v>67</v>
      </c>
      <c r="X27" s="139">
        <f>(X23+X20)/(X10+X22+X20+X23)%</f>
        <v>6.4020942507120289</v>
      </c>
      <c r="Y27" s="3"/>
      <c r="Z27" s="140">
        <f>X23+X20</f>
        <v>68.399973262871129</v>
      </c>
      <c r="AA27" s="52" t="s">
        <v>77</v>
      </c>
      <c r="AB27" s="146" t="b">
        <f>ROUND(S27,1)=ROUND(Z27,1)</f>
        <v>1</v>
      </c>
      <c r="AC27" s="44"/>
      <c r="AD27" s="70" t="s">
        <v>34</v>
      </c>
      <c r="AE27" s="81">
        <f>(AE20+AE23)/AE25%</f>
        <v>4.7729008184439827</v>
      </c>
      <c r="AF27" s="41"/>
      <c r="AG27" s="3"/>
      <c r="AH27" s="72" t="s">
        <v>40</v>
      </c>
      <c r="AI27" s="3"/>
      <c r="AJ27" s="3"/>
    </row>
    <row r="28" spans="1:36" ht="18.600000000000001" customHeight="1" x14ac:dyDescent="0.3">
      <c r="A28" s="3"/>
      <c r="B28" s="44"/>
      <c r="C28" s="52"/>
      <c r="D28" s="4"/>
      <c r="E28" s="4"/>
      <c r="F28" s="4"/>
      <c r="G28" s="146"/>
      <c r="H28" s="44"/>
      <c r="I28" s="3"/>
      <c r="J28" s="4"/>
      <c r="K28" s="4"/>
      <c r="L28" s="35"/>
      <c r="M28" s="4"/>
      <c r="N28" s="146"/>
      <c r="O28" s="158"/>
      <c r="P28" s="70" t="s">
        <v>49</v>
      </c>
      <c r="Q28" s="81">
        <f>Q20/Q25%</f>
        <v>3.7438423645320196</v>
      </c>
      <c r="R28" s="3"/>
      <c r="S28" s="126" t="s">
        <v>76</v>
      </c>
      <c r="T28" s="3"/>
      <c r="U28" s="41"/>
      <c r="V28" s="44"/>
      <c r="W28" s="70" t="s">
        <v>49</v>
      </c>
      <c r="X28" s="81">
        <f>X20/X25%</f>
        <v>3.2985847442882723</v>
      </c>
      <c r="Y28" s="4"/>
      <c r="Z28" s="53" t="s">
        <v>69</v>
      </c>
      <c r="AA28" s="4"/>
      <c r="AB28" s="146"/>
      <c r="AC28" s="44"/>
      <c r="AD28" s="70" t="s">
        <v>49</v>
      </c>
      <c r="AE28" s="81">
        <f>AE20/AE25%</f>
        <v>1.6153706876871279</v>
      </c>
      <c r="AF28" s="41"/>
      <c r="AG28" s="3"/>
      <c r="AH28" s="72" t="s">
        <v>37</v>
      </c>
      <c r="AI28" s="3"/>
      <c r="AJ28" s="3"/>
    </row>
    <row r="29" spans="1:36" ht="18.600000000000001" customHeight="1" x14ac:dyDescent="0.3">
      <c r="A29" s="3"/>
      <c r="B29" s="65"/>
      <c r="C29" s="63"/>
      <c r="D29" s="39"/>
      <c r="E29" s="39"/>
      <c r="F29" s="39"/>
      <c r="G29" s="152"/>
      <c r="H29" s="65"/>
      <c r="I29" s="38"/>
      <c r="J29" s="39"/>
      <c r="K29" s="39"/>
      <c r="L29" s="40"/>
      <c r="M29" s="39"/>
      <c r="N29" s="152"/>
      <c r="O29" s="159"/>
      <c r="P29" s="38"/>
      <c r="Q29" s="38"/>
      <c r="R29" s="38"/>
      <c r="S29" s="38"/>
      <c r="T29" s="38"/>
      <c r="U29" s="37"/>
      <c r="V29" s="65"/>
      <c r="W29" s="38"/>
      <c r="X29" s="39"/>
      <c r="Y29" s="39"/>
      <c r="Z29" s="40"/>
      <c r="AA29" s="39"/>
      <c r="AB29" s="152"/>
      <c r="AC29" s="65"/>
      <c r="AD29" s="83"/>
      <c r="AE29" s="84"/>
      <c r="AF29" s="37"/>
      <c r="AG29" s="3"/>
      <c r="AH29" s="72" t="s">
        <v>41</v>
      </c>
      <c r="AI29" s="3"/>
      <c r="AJ29" s="3"/>
    </row>
    <row r="31" spans="1:36" x14ac:dyDescent="0.3">
      <c r="P31" s="129"/>
      <c r="Q31" s="130"/>
      <c r="W31" s="129"/>
      <c r="X31" s="130"/>
    </row>
    <row r="33" spans="24:26" x14ac:dyDescent="0.3">
      <c r="X33" s="55"/>
    </row>
    <row r="34" spans="24:26" x14ac:dyDescent="0.3">
      <c r="Z34" s="131"/>
    </row>
    <row r="73" spans="3:3" ht="18" x14ac:dyDescent="0.35">
      <c r="C73" s="168" t="s">
        <v>92</v>
      </c>
    </row>
  </sheetData>
  <pageMargins left="0.23622047244094491" right="0.23622047244094491" top="0.74803149606299213" bottom="0.74803149606299213" header="0.31496062992125984" footer="0.31496062992125984"/>
  <pageSetup paperSize="9" scale="77" pageOrder="overThenDown" orientation="landscape" r:id="rId1"/>
  <headerFooter>
    <oddFooter>Page &amp;P de &amp;N</oddFooter>
  </headerFooter>
  <rowBreaks count="1" manualBreakCount="1">
    <brk id="30" max="16383" man="1"/>
  </rowBreaks>
  <colBreaks count="1" manualBreakCount="1">
    <brk id="2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60C41-F240-4CCA-960D-A8AF08B129AD}">
  <dimension ref="J63:J67"/>
  <sheetViews>
    <sheetView topLeftCell="A262" workbookViewId="0">
      <selection activeCell="M265" sqref="M265"/>
    </sheetView>
  </sheetViews>
  <sheetFormatPr baseColWidth="10" defaultRowHeight="14.4" x14ac:dyDescent="0.3"/>
  <sheetData>
    <row r="63" spans="10:10" x14ac:dyDescent="0.3">
      <c r="J63" t="s">
        <v>70</v>
      </c>
    </row>
    <row r="64" spans="10:10" x14ac:dyDescent="0.3">
      <c r="J64" t="s">
        <v>73</v>
      </c>
    </row>
    <row r="65" spans="10:10" x14ac:dyDescent="0.3">
      <c r="J65" t="s">
        <v>72</v>
      </c>
    </row>
    <row r="66" spans="10:10" x14ac:dyDescent="0.3">
      <c r="J66" t="s">
        <v>74</v>
      </c>
    </row>
    <row r="67" spans="10:10" x14ac:dyDescent="0.3">
      <c r="J67" t="s">
        <v>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Crist +  drying</vt:lpstr>
      <vt:lpstr>+ Post crist</vt:lpstr>
      <vt:lpstr>Lactose</vt:lpstr>
      <vt:lpstr>'+ Post crist'!Zone_d_impression</vt:lpstr>
      <vt:lpstr>'Crist +  drying'!Zone_d_impression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VALOT</dc:creator>
  <cp:lastModifiedBy>Gilles VALOT</cp:lastModifiedBy>
  <cp:lastPrinted>2024-01-24T10:40:27Z</cp:lastPrinted>
  <dcterms:created xsi:type="dcterms:W3CDTF">2022-05-27T13:33:43Z</dcterms:created>
  <dcterms:modified xsi:type="dcterms:W3CDTF">2024-01-24T10:43:28Z</dcterms:modified>
</cp:coreProperties>
</file>