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4ca1d963a7df93/Outils/"/>
    </mc:Choice>
  </mc:AlternateContent>
  <xr:revisionPtr revIDLastSave="0" documentId="8_{3245DAB3-E3D1-469D-AFE1-E381364E39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ystallization" sheetId="4" r:id="rId1"/>
  </sheets>
  <definedNames>
    <definedName name="_xlnm.Print_Area" localSheetId="0">Crystallization!$B$2:$R$42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4" l="1"/>
  <c r="Q24" i="4"/>
  <c r="J22" i="4"/>
  <c r="T15" i="4"/>
  <c r="T14" i="4"/>
  <c r="Q10" i="4"/>
  <c r="F24" i="4"/>
  <c r="E8" i="4" l="1"/>
  <c r="F19" i="4" s="1"/>
  <c r="J14" i="4"/>
  <c r="Q14" i="4" s="1"/>
  <c r="J15" i="4"/>
  <c r="Q15" i="4" s="1"/>
  <c r="J16" i="4"/>
  <c r="Q16" i="4" s="1"/>
  <c r="F17" i="4"/>
  <c r="J17" i="4" s="1"/>
  <c r="J18" i="4"/>
  <c r="Q18" i="4" s="1"/>
  <c r="Q19" i="4" s="1"/>
  <c r="G39" i="4"/>
  <c r="L39" i="4"/>
  <c r="F41" i="4" l="1"/>
  <c r="J21" i="4"/>
  <c r="F26" i="4"/>
  <c r="Q17" i="4"/>
  <c r="J10" i="4"/>
  <c r="T19" i="4" l="1"/>
  <c r="T18" i="4" s="1"/>
  <c r="Q21" i="4"/>
  <c r="Q22" i="4" l="1"/>
  <c r="J19" i="4"/>
  <c r="J24" i="4"/>
  <c r="N21" i="4"/>
  <c r="N22" i="4" s="1"/>
  <c r="Q27" i="4" l="1"/>
  <c r="J8" i="4"/>
  <c r="J26" i="4"/>
  <c r="Q26" i="4"/>
  <c r="Q9" i="4" s="1"/>
</calcChain>
</file>

<file path=xl/sharedStrings.xml><?xml version="1.0" encoding="utf-8"?>
<sst xmlns="http://schemas.openxmlformats.org/spreadsheetml/2006/main" count="89" uniqueCount="66">
  <si>
    <t>not crystallized, and compare with a lab analysis of the same sample.</t>
  </si>
  <si>
    <t xml:space="preserve">it is sufficient to control the refractometer, mesuring a pre-concentrated whey, </t>
  </si>
  <si>
    <t>NB : it is necessary to find the refractometer correction factor for the whey,</t>
  </si>
  <si>
    <t>% crystallized lactose</t>
  </si>
  <si>
    <t>Result :</t>
  </si>
  <si>
    <t xml:space="preserve"> -</t>
  </si>
  <si>
    <t>X</t>
  </si>
  <si>
    <t>Lactose in concentrate (%) :</t>
  </si>
  <si>
    <t xml:space="preserve">  ( 95 - ES 2 )</t>
  </si>
  <si>
    <t>lactose = ES 1 X L</t>
  </si>
  <si>
    <t>ES 2</t>
  </si>
  <si>
    <t>ES 1</t>
  </si>
  <si>
    <t>Refracto outlet evaporator (%) :</t>
  </si>
  <si>
    <t>Lactose content in DM - % :</t>
  </si>
  <si>
    <t>Crystallization rate : refractometric method</t>
  </si>
  <si>
    <t>L/E - %</t>
  </si>
  <si>
    <t>1 mol lactose + 1 mol H2O</t>
  </si>
  <si>
    <t>Crystallization water - %</t>
  </si>
  <si>
    <t>Crystallization water - g</t>
  </si>
  <si>
    <t>Total solids - g</t>
  </si>
  <si>
    <t>Crystallised lactose - g</t>
  </si>
  <si>
    <t>Water - g</t>
  </si>
  <si>
    <t>amorphous lactose</t>
  </si>
  <si>
    <t>Lactose - g</t>
  </si>
  <si>
    <t>Various - g</t>
  </si>
  <si>
    <t>Fat - g</t>
  </si>
  <si>
    <t>Minerals - g</t>
  </si>
  <si>
    <t>Proteins - g</t>
  </si>
  <si>
    <t>Dry matter - g</t>
  </si>
  <si>
    <t>Dry matter - %</t>
  </si>
  <si>
    <t>Concentrate - g</t>
  </si>
  <si>
    <t>Crystallization - %</t>
  </si>
  <si>
    <t>Total Powder - g</t>
  </si>
  <si>
    <t>Total DM - g</t>
  </si>
  <si>
    <t>Total moisture KF - %</t>
  </si>
  <si>
    <t>Amorphous Lactose - g</t>
  </si>
  <si>
    <t>non crystallisated DM - %</t>
  </si>
  <si>
    <t>Etuve 2h00 à 102°C + dissécateur</t>
  </si>
  <si>
    <t xml:space="preserve">Composition : </t>
  </si>
  <si>
    <t>without crystals</t>
  </si>
  <si>
    <t>Méthode Karl Fisher</t>
  </si>
  <si>
    <t>(consigne opérateur de séchage)</t>
  </si>
  <si>
    <t xml:space="preserve">Theorical evolution of the composition of the concentrate during crystallization </t>
  </si>
  <si>
    <t>IR at the end of crystallization</t>
  </si>
  <si>
    <t>Moisture on non fat,</t>
  </si>
  <si>
    <t>Content after evaporator :</t>
  </si>
  <si>
    <t>Content at the end of crystallization :</t>
  </si>
  <si>
    <t>Content at the end of drying - aw &lt; 0,2 :</t>
  </si>
  <si>
    <t>NB : keep the concentration below 45% during filling, a little below the température of flash-cooler, then cool quickly at the end of concentration.</t>
  </si>
  <si>
    <t>Enter data in the yellow cells</t>
  </si>
  <si>
    <t>Free moisture - % powder</t>
  </si>
  <si>
    <t>Data excluding production loss</t>
  </si>
  <si>
    <t>at 20°C</t>
  </si>
  <si>
    <t>L/E before cooling down - %</t>
  </si>
  <si>
    <t>Total potential powder - g</t>
  </si>
  <si>
    <t>Product :</t>
  </si>
  <si>
    <t>Whey PPNC-PPC</t>
  </si>
  <si>
    <t>maximum</t>
  </si>
  <si>
    <t>with safe of - 0,5% and aw &lt; = 0,2.</t>
  </si>
  <si>
    <t>Reco. Moisture for milk products: 5% / non fat and non crystallisated DM,</t>
  </si>
  <si>
    <t xml:space="preserve">Refracto. end crystallization % : </t>
  </si>
  <si>
    <t>% water</t>
  </si>
  <si>
    <t>g water amorphous lactose</t>
  </si>
  <si>
    <t>!!! Ne pas dépasser 3,1%</t>
  </si>
  <si>
    <t>g water proteins</t>
  </si>
  <si>
    <t>g water minerals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</si>
</sst>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&quot; )&quot;"/>
    <numFmt numFmtId="166" formatCode="#,##0.0"/>
    <numFmt numFmtId="167" formatCode="&quot;( &quot;0.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rgb="FFFF0000"/>
      <name val="Calibri"/>
      <family val="2"/>
    </font>
    <font>
      <b/>
      <sz val="11"/>
      <color indexed="8"/>
      <name val="Calibri"/>
      <family val="2"/>
    </font>
    <font>
      <b/>
      <sz val="14"/>
      <color indexed="10"/>
      <name val="Calibri"/>
      <family val="2"/>
    </font>
    <font>
      <sz val="11"/>
      <color indexed="12"/>
      <name val="Calibri"/>
      <family val="2"/>
    </font>
    <font>
      <b/>
      <sz val="11"/>
      <color indexed="12"/>
      <name val="Calibri"/>
      <family val="2"/>
    </font>
    <font>
      <b/>
      <sz val="11"/>
      <color rgb="FF0000FF"/>
      <name val="Calibri"/>
      <family val="2"/>
    </font>
    <font>
      <b/>
      <sz val="14"/>
      <color rgb="FF0000FF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48"/>
      </right>
      <top style="thin">
        <color indexed="48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4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5" fontId="5" fillId="0" borderId="6" xfId="0" applyNumberFormat="1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2" fontId="5" fillId="0" borderId="6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hidden="1"/>
    </xf>
    <xf numFmtId="0" fontId="7" fillId="0" borderId="10" xfId="0" applyFont="1" applyBorder="1" applyAlignment="1" applyProtection="1">
      <alignment horizontal="centerContinuous" vertical="center"/>
      <protection hidden="1"/>
    </xf>
    <xf numFmtId="0" fontId="7" fillId="0" borderId="11" xfId="0" applyFont="1" applyBorder="1" applyAlignment="1" applyProtection="1">
      <alignment horizontal="centerContinuous" vertical="center"/>
      <protection hidden="1"/>
    </xf>
    <xf numFmtId="0" fontId="8" fillId="0" borderId="12" xfId="0" applyFont="1" applyBorder="1" applyAlignment="1" applyProtection="1">
      <alignment horizontal="centerContinuous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4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right" vertical="center"/>
    </xf>
    <xf numFmtId="0" fontId="9" fillId="0" borderId="0" xfId="0" applyFont="1" applyProtection="1">
      <protection hidden="1"/>
    </xf>
    <xf numFmtId="0" fontId="3" fillId="0" borderId="15" xfId="0" applyFont="1" applyBorder="1" applyProtection="1">
      <protection hidden="1"/>
    </xf>
    <xf numFmtId="0" fontId="3" fillId="0" borderId="14" xfId="0" applyFont="1" applyBorder="1" applyProtection="1">
      <protection hidden="1"/>
    </xf>
    <xf numFmtId="3" fontId="1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3" fontId="0" fillId="0" borderId="5" xfId="0" applyNumberForma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0" fillId="0" borderId="4" xfId="0" applyBorder="1"/>
    <xf numFmtId="3" fontId="0" fillId="0" borderId="0" xfId="0" applyNumberFormat="1"/>
    <xf numFmtId="3" fontId="14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right"/>
    </xf>
    <xf numFmtId="3" fontId="0" fillId="0" borderId="5" xfId="0" applyNumberFormat="1" applyBorder="1"/>
    <xf numFmtId="3" fontId="14" fillId="0" borderId="0" xfId="0" applyNumberFormat="1" applyFont="1" applyAlignment="1">
      <alignment horizontal="right"/>
    </xf>
    <xf numFmtId="0" fontId="0" fillId="0" borderId="15" xfId="0" applyBorder="1"/>
    <xf numFmtId="0" fontId="0" fillId="0" borderId="14" xfId="0" applyBorder="1"/>
    <xf numFmtId="3" fontId="0" fillId="0" borderId="14" xfId="0" applyNumberFormat="1" applyBorder="1"/>
    <xf numFmtId="3" fontId="11" fillId="0" borderId="2" xfId="0" applyNumberFormat="1" applyFont="1" applyBorder="1" applyAlignment="1">
      <alignment vertical="center"/>
    </xf>
    <xf numFmtId="3" fontId="0" fillId="0" borderId="16" xfId="0" applyNumberFormat="1" applyBorder="1"/>
    <xf numFmtId="3" fontId="0" fillId="0" borderId="3" xfId="0" applyNumberFormat="1" applyBorder="1" applyAlignment="1">
      <alignment vertical="center"/>
    </xf>
    <xf numFmtId="0" fontId="10" fillId="0" borderId="0" xfId="0" applyFont="1" applyProtection="1">
      <protection hidden="1"/>
    </xf>
    <xf numFmtId="3" fontId="0" fillId="0" borderId="16" xfId="0" applyNumberForma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2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 vertical="center"/>
    </xf>
    <xf numFmtId="166" fontId="0" fillId="2" borderId="0" xfId="0" applyNumberFormat="1" applyFill="1" applyAlignment="1">
      <alignment horizontal="left" vertical="center"/>
    </xf>
    <xf numFmtId="3" fontId="0" fillId="2" borderId="0" xfId="0" applyNumberFormat="1" applyFill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3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2" fontId="1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2" fontId="11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4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0" fillId="0" borderId="18" xfId="0" applyNumberFormat="1" applyBorder="1"/>
    <xf numFmtId="0" fontId="0" fillId="0" borderId="18" xfId="0" applyBorder="1"/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vertical="center"/>
    </xf>
    <xf numFmtId="3" fontId="14" fillId="0" borderId="18" xfId="0" applyNumberFormat="1" applyFont="1" applyBorder="1" applyAlignment="1">
      <alignment horizontal="right"/>
    </xf>
    <xf numFmtId="3" fontId="0" fillId="0" borderId="21" xfId="0" applyNumberFormat="1" applyBorder="1" applyAlignment="1">
      <alignment horizontal="center" vertical="center"/>
    </xf>
    <xf numFmtId="3" fontId="15" fillId="0" borderId="18" xfId="0" applyNumberFormat="1" applyFont="1" applyBorder="1" applyAlignment="1">
      <alignment horizontal="left"/>
    </xf>
    <xf numFmtId="0" fontId="0" fillId="0" borderId="23" xfId="0" applyBorder="1"/>
    <xf numFmtId="3" fontId="14" fillId="0" borderId="22" xfId="0" applyNumberFormat="1" applyFont="1" applyBorder="1" applyAlignment="1">
      <alignment horizontal="right"/>
    </xf>
    <xf numFmtId="3" fontId="0" fillId="0" borderId="22" xfId="0" applyNumberFormat="1" applyBorder="1"/>
    <xf numFmtId="3" fontId="0" fillId="0" borderId="22" xfId="0" applyNumberFormat="1" applyBorder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3" fontId="12" fillId="0" borderId="22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3" fontId="0" fillId="0" borderId="22" xfId="0" applyNumberFormat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17" xfId="0" applyNumberFormat="1" applyBorder="1" applyAlignment="1">
      <alignment horizontal="left"/>
    </xf>
    <xf numFmtId="2" fontId="5" fillId="0" borderId="0" xfId="0" applyNumberFormat="1" applyFont="1" applyAlignment="1" applyProtection="1">
      <alignment horizontal="center" vertical="center"/>
      <protection hidden="1"/>
    </xf>
    <xf numFmtId="3" fontId="1" fillId="0" borderId="22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/>
    </xf>
    <xf numFmtId="3" fontId="0" fillId="2" borderId="0" xfId="0" applyNumberFormat="1" applyFill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hidden="1"/>
    </xf>
    <xf numFmtId="3" fontId="1" fillId="0" borderId="0" xfId="0" applyNumberFormat="1" applyFont="1"/>
    <xf numFmtId="3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3" fontId="16" fillId="0" borderId="0" xfId="0" applyNumberFormat="1" applyFont="1" applyAlignment="1">
      <alignment horizontal="centerContinuous"/>
    </xf>
    <xf numFmtId="0" fontId="0" fillId="2" borderId="0" xfId="0" applyFill="1"/>
    <xf numFmtId="3" fontId="15" fillId="2" borderId="0" xfId="0" applyNumberFormat="1" applyFont="1" applyFill="1" applyAlignment="1">
      <alignment horizontal="right"/>
    </xf>
    <xf numFmtId="0" fontId="5" fillId="0" borderId="0" xfId="0" applyFont="1" applyAlignment="1" applyProtection="1">
      <alignment horizontal="right"/>
      <protection hidden="1"/>
    </xf>
    <xf numFmtId="1" fontId="0" fillId="0" borderId="0" xfId="0" applyNumberFormat="1" applyAlignment="1">
      <alignment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horizontal="left" vertical="center"/>
    </xf>
    <xf numFmtId="167" fontId="5" fillId="0" borderId="8" xfId="0" applyNumberFormat="1" applyFont="1" applyBorder="1" applyAlignment="1" applyProtection="1">
      <alignment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38100</xdr:rowOff>
    </xdr:from>
    <xdr:to>
      <xdr:col>2</xdr:col>
      <xdr:colOff>426720</xdr:colOff>
      <xdr:row>3</xdr:row>
      <xdr:rowOff>131445</xdr:rowOff>
    </xdr:to>
    <xdr:pic>
      <xdr:nvPicPr>
        <xdr:cNvPr id="2" name="Picture 5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219075"/>
          <a:ext cx="541020" cy="541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51"/>
  <sheetViews>
    <sheetView showGridLines="0" tabSelected="1" zoomScale="80" zoomScaleNormal="80" workbookViewId="0">
      <selection activeCell="X23" sqref="X23"/>
    </sheetView>
  </sheetViews>
  <sheetFormatPr baseColWidth="10" defaultColWidth="10.77734375" defaultRowHeight="14.4" x14ac:dyDescent="0.3"/>
  <cols>
    <col min="1" max="1" width="4.21875" customWidth="1"/>
    <col min="2" max="2" width="2.77734375" customWidth="1"/>
    <col min="3" max="4" width="7.77734375" customWidth="1"/>
    <col min="6" max="6" width="8.33203125" customWidth="1"/>
    <col min="7" max="7" width="10.88671875" customWidth="1"/>
    <col min="8" max="8" width="2.77734375" customWidth="1"/>
    <col min="9" max="9" width="20.88671875" customWidth="1"/>
    <col min="10" max="10" width="10.109375" customWidth="1"/>
    <col min="11" max="11" width="3.77734375" customWidth="1"/>
    <col min="12" max="12" width="14.6640625" customWidth="1"/>
    <col min="13" max="13" width="7.5546875" customWidth="1"/>
    <col min="14" max="14" width="8.5546875" customWidth="1"/>
    <col min="15" max="15" width="2.33203125" customWidth="1"/>
    <col min="16" max="16" width="22.5546875" customWidth="1"/>
    <col min="17" max="17" width="8.33203125" customWidth="1"/>
    <col min="18" max="18" width="5.88671875" customWidth="1"/>
  </cols>
  <sheetData>
    <row r="1" spans="2:21" x14ac:dyDescent="0.3"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2:21" x14ac:dyDescent="0.3">
      <c r="B2" s="64"/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1"/>
      <c r="Q2" s="61"/>
      <c r="R2" s="60"/>
    </row>
    <row r="3" spans="2:21" ht="21" x14ac:dyDescent="0.4">
      <c r="B3" s="58"/>
      <c r="C3" s="121" t="s">
        <v>42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20"/>
      <c r="Q3" s="120"/>
      <c r="R3" s="54"/>
    </row>
    <row r="4" spans="2:21" x14ac:dyDescent="0.3">
      <c r="B4" s="58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R4" s="54"/>
    </row>
    <row r="5" spans="2:21" x14ac:dyDescent="0.3">
      <c r="B5" s="109"/>
      <c r="C5" s="97" t="s">
        <v>45</v>
      </c>
      <c r="D5" s="88"/>
      <c r="E5" s="89"/>
      <c r="F5" s="89"/>
      <c r="G5" s="90"/>
      <c r="H5" s="96"/>
      <c r="I5" s="97" t="s">
        <v>46</v>
      </c>
      <c r="J5" s="88"/>
      <c r="K5" s="88"/>
      <c r="L5" s="88"/>
      <c r="M5" s="89"/>
      <c r="N5" s="95"/>
      <c r="O5" s="96"/>
      <c r="P5" s="97" t="s">
        <v>47</v>
      </c>
      <c r="Q5" s="89"/>
      <c r="R5" s="98"/>
    </row>
    <row r="6" spans="2:21" x14ac:dyDescent="0.3">
      <c r="B6" s="58"/>
      <c r="C6" s="55"/>
      <c r="D6" s="55"/>
      <c r="F6" s="57"/>
      <c r="G6" s="91"/>
      <c r="H6" s="101"/>
      <c r="I6" s="57"/>
      <c r="J6" s="55"/>
      <c r="K6" s="55"/>
      <c r="L6" s="55"/>
      <c r="N6" s="59"/>
      <c r="O6" s="99"/>
      <c r="R6" s="54"/>
    </row>
    <row r="7" spans="2:21" x14ac:dyDescent="0.3">
      <c r="B7" s="58"/>
      <c r="C7" s="55" t="s">
        <v>55</v>
      </c>
      <c r="D7" s="55"/>
      <c r="E7" s="122" t="s">
        <v>56</v>
      </c>
      <c r="F7" s="123"/>
      <c r="G7" s="91"/>
      <c r="H7" s="101"/>
      <c r="I7" s="77" t="s">
        <v>31</v>
      </c>
      <c r="J7" s="87">
        <v>72</v>
      </c>
      <c r="K7" s="118"/>
      <c r="L7" s="118" t="s">
        <v>57</v>
      </c>
      <c r="M7" s="56"/>
      <c r="N7" s="55"/>
      <c r="O7" s="100"/>
      <c r="P7" s="85" t="s">
        <v>44</v>
      </c>
      <c r="Q7" s="85"/>
      <c r="R7" s="54"/>
      <c r="T7" s="72" t="s">
        <v>59</v>
      </c>
    </row>
    <row r="8" spans="2:21" s="3" customFormat="1" ht="20.399999999999999" customHeight="1" x14ac:dyDescent="0.3">
      <c r="B8" s="44"/>
      <c r="C8" s="73" t="s">
        <v>30</v>
      </c>
      <c r="E8" s="73">
        <f>E10/E9%</f>
        <v>1724.1379310344828</v>
      </c>
      <c r="G8" s="91"/>
      <c r="H8" s="101"/>
      <c r="I8" s="76" t="s">
        <v>30</v>
      </c>
      <c r="J8" s="76">
        <f>J10+J19</f>
        <v>1155.7168784029038</v>
      </c>
      <c r="L8" s="72" t="s">
        <v>39</v>
      </c>
      <c r="O8" s="101"/>
      <c r="P8" s="77" t="s">
        <v>36</v>
      </c>
      <c r="Q8" s="86">
        <v>4.5</v>
      </c>
      <c r="R8" s="41"/>
      <c r="T8" s="72" t="s">
        <v>58</v>
      </c>
    </row>
    <row r="9" spans="2:21" s="3" customFormat="1" ht="20.399999999999999" customHeight="1" x14ac:dyDescent="0.3">
      <c r="B9" s="44"/>
      <c r="C9" s="73" t="s">
        <v>29</v>
      </c>
      <c r="E9" s="74">
        <v>58</v>
      </c>
      <c r="G9" s="91"/>
      <c r="H9" s="101"/>
      <c r="I9" s="77" t="s">
        <v>29</v>
      </c>
      <c r="J9" s="78">
        <f>J10/J8%</f>
        <v>39.802135678391963</v>
      </c>
      <c r="L9" s="52" t="s">
        <v>43</v>
      </c>
      <c r="O9" s="101"/>
      <c r="P9" s="79" t="s">
        <v>29</v>
      </c>
      <c r="Q9" s="102">
        <f>100-Q26</f>
        <v>95.272099110286177</v>
      </c>
      <c r="R9" s="41"/>
    </row>
    <row r="10" spans="2:21" s="3" customFormat="1" ht="20.399999999999999" customHeight="1" x14ac:dyDescent="0.3">
      <c r="B10" s="44"/>
      <c r="C10" s="73" t="s">
        <v>28</v>
      </c>
      <c r="E10" s="115">
        <v>1000</v>
      </c>
      <c r="G10" s="91"/>
      <c r="H10" s="101"/>
      <c r="I10" s="76" t="s">
        <v>28</v>
      </c>
      <c r="J10" s="76">
        <f>J14+J15+J16+J17+J18</f>
        <v>460</v>
      </c>
      <c r="L10" s="72" t="s">
        <v>39</v>
      </c>
      <c r="O10" s="101"/>
      <c r="P10" s="79" t="s">
        <v>28</v>
      </c>
      <c r="Q10" s="73">
        <f>E10</f>
        <v>1000</v>
      </c>
      <c r="R10" s="41"/>
    </row>
    <row r="11" spans="2:21" s="3" customFormat="1" ht="20.399999999999999" customHeight="1" x14ac:dyDescent="0.3">
      <c r="B11" s="44"/>
      <c r="C11" s="73"/>
      <c r="G11" s="91"/>
      <c r="H11" s="101"/>
      <c r="I11" s="79"/>
      <c r="J11" s="79"/>
      <c r="O11" s="101"/>
      <c r="P11" s="79"/>
      <c r="Q11" s="73"/>
      <c r="R11" s="41"/>
    </row>
    <row r="12" spans="2:21" s="3" customFormat="1" ht="20.399999999999999" customHeight="1" x14ac:dyDescent="0.3">
      <c r="B12" s="44"/>
      <c r="C12" s="116" t="s">
        <v>38</v>
      </c>
      <c r="E12" s="82"/>
      <c r="G12" s="91"/>
      <c r="H12" s="101"/>
      <c r="I12" s="116" t="s">
        <v>38</v>
      </c>
      <c r="J12" s="79"/>
      <c r="O12" s="101"/>
      <c r="P12" s="116" t="s">
        <v>38</v>
      </c>
      <c r="Q12" s="73"/>
      <c r="R12" s="41"/>
    </row>
    <row r="13" spans="2:21" s="3" customFormat="1" ht="20.399999999999999" customHeight="1" x14ac:dyDescent="0.3">
      <c r="B13" s="44"/>
      <c r="C13" s="116"/>
      <c r="E13" s="82"/>
      <c r="G13" s="91"/>
      <c r="H13" s="101"/>
      <c r="I13" s="116"/>
      <c r="J13" s="79"/>
      <c r="O13" s="101"/>
      <c r="P13" s="116"/>
      <c r="Q13" s="73"/>
      <c r="R13" s="41"/>
    </row>
    <row r="14" spans="2:21" s="3" customFormat="1" ht="20.399999999999999" customHeight="1" x14ac:dyDescent="0.3">
      <c r="B14" s="44"/>
      <c r="C14" s="4"/>
      <c r="D14" s="4"/>
      <c r="E14" s="43" t="s">
        <v>27</v>
      </c>
      <c r="F14" s="75">
        <v>135</v>
      </c>
      <c r="G14" s="91"/>
      <c r="H14" s="101"/>
      <c r="I14" s="43" t="s">
        <v>27</v>
      </c>
      <c r="J14" s="43">
        <f>F14</f>
        <v>135</v>
      </c>
      <c r="K14" s="42"/>
      <c r="M14" s="46"/>
      <c r="N14" s="47"/>
      <c r="O14" s="101"/>
      <c r="P14" s="43" t="s">
        <v>27</v>
      </c>
      <c r="Q14" s="43">
        <f t="shared" ref="Q14:Q18" si="0">J14</f>
        <v>135</v>
      </c>
      <c r="R14" s="41"/>
      <c r="T14" s="125">
        <f>(Q14/(100-6.4)%)-Q14</f>
        <v>9.2307692307692264</v>
      </c>
      <c r="U14" s="3" t="s">
        <v>64</v>
      </c>
    </row>
    <row r="15" spans="2:21" s="3" customFormat="1" ht="20.399999999999999" customHeight="1" x14ac:dyDescent="0.3">
      <c r="B15" s="44"/>
      <c r="C15" s="4"/>
      <c r="D15" s="4"/>
      <c r="E15" s="43" t="s">
        <v>26</v>
      </c>
      <c r="F15" s="75">
        <v>81</v>
      </c>
      <c r="G15" s="91"/>
      <c r="H15" s="101"/>
      <c r="I15" s="43" t="s">
        <v>26</v>
      </c>
      <c r="J15" s="43">
        <f>F15</f>
        <v>81</v>
      </c>
      <c r="K15" s="4"/>
      <c r="M15" s="4"/>
      <c r="N15" s="42"/>
      <c r="O15" s="101"/>
      <c r="P15" s="43" t="s">
        <v>26</v>
      </c>
      <c r="Q15" s="43">
        <f t="shared" si="0"/>
        <v>81</v>
      </c>
      <c r="R15" s="41"/>
      <c r="T15" s="125">
        <f>(Q15/(100-6.4)%)-Q15</f>
        <v>5.5384615384615472</v>
      </c>
      <c r="U15" s="3" t="s">
        <v>65</v>
      </c>
    </row>
    <row r="16" spans="2:21" s="3" customFormat="1" ht="20.399999999999999" customHeight="1" x14ac:dyDescent="0.3">
      <c r="B16" s="44"/>
      <c r="C16" s="4"/>
      <c r="D16" s="4"/>
      <c r="E16" s="43" t="s">
        <v>25</v>
      </c>
      <c r="F16" s="75">
        <v>10</v>
      </c>
      <c r="G16" s="91"/>
      <c r="H16" s="101"/>
      <c r="I16" s="43" t="s">
        <v>25</v>
      </c>
      <c r="J16" s="43">
        <f>F16</f>
        <v>10</v>
      </c>
      <c r="K16" s="4"/>
      <c r="M16" s="4"/>
      <c r="N16" s="42"/>
      <c r="O16" s="101"/>
      <c r="P16" s="43" t="s">
        <v>25</v>
      </c>
      <c r="Q16" s="43">
        <f t="shared" si="0"/>
        <v>10</v>
      </c>
      <c r="R16" s="41"/>
    </row>
    <row r="17" spans="2:25" s="3" customFormat="1" ht="20.399999999999999" customHeight="1" x14ac:dyDescent="0.3">
      <c r="B17" s="44"/>
      <c r="C17" s="4"/>
      <c r="D17" s="4"/>
      <c r="E17" s="43" t="s">
        <v>24</v>
      </c>
      <c r="F17" s="43">
        <f>E10-F14-F15-F16-F18</f>
        <v>24</v>
      </c>
      <c r="G17" s="91"/>
      <c r="H17" s="101"/>
      <c r="I17" s="43" t="s">
        <v>24</v>
      </c>
      <c r="J17" s="43">
        <f>F17</f>
        <v>24</v>
      </c>
      <c r="K17" s="4"/>
      <c r="M17" s="4"/>
      <c r="N17" s="42"/>
      <c r="O17" s="101"/>
      <c r="P17" s="43" t="s">
        <v>24</v>
      </c>
      <c r="Q17" s="43">
        <f t="shared" si="0"/>
        <v>24</v>
      </c>
      <c r="R17" s="41"/>
    </row>
    <row r="18" spans="2:25" s="3" customFormat="1" ht="20.399999999999999" customHeight="1" x14ac:dyDescent="0.3">
      <c r="B18" s="44"/>
      <c r="C18" s="4"/>
      <c r="D18" s="4"/>
      <c r="E18" s="43" t="s">
        <v>23</v>
      </c>
      <c r="F18" s="75">
        <v>750</v>
      </c>
      <c r="G18" s="91"/>
      <c r="H18" s="101"/>
      <c r="I18" s="46" t="s">
        <v>23</v>
      </c>
      <c r="J18" s="46">
        <f>F18-(F18*J7%)</f>
        <v>210</v>
      </c>
      <c r="L18" s="35" t="s">
        <v>22</v>
      </c>
      <c r="M18" s="4"/>
      <c r="N18" s="42"/>
      <c r="O18" s="101"/>
      <c r="P18" s="46" t="s">
        <v>35</v>
      </c>
      <c r="Q18" s="46">
        <f t="shared" si="0"/>
        <v>210</v>
      </c>
      <c r="R18" s="41"/>
      <c r="T18" s="126">
        <f>T19/(Q18+T19)%</f>
        <v>2.9731600571632875</v>
      </c>
      <c r="U18" s="127" t="s">
        <v>61</v>
      </c>
      <c r="V18" s="127" t="s">
        <v>63</v>
      </c>
    </row>
    <row r="19" spans="2:25" s="3" customFormat="1" ht="20.399999999999999" customHeight="1" x14ac:dyDescent="0.3">
      <c r="B19" s="44"/>
      <c r="C19" s="4"/>
      <c r="D19" s="4"/>
      <c r="E19" s="50" t="s">
        <v>21</v>
      </c>
      <c r="F19" s="50">
        <f>E8-E10</f>
        <v>724.13793103448279</v>
      </c>
      <c r="G19" s="92"/>
      <c r="H19" s="103"/>
      <c r="I19" s="50" t="s">
        <v>21</v>
      </c>
      <c r="J19" s="50">
        <f>F19-J22</f>
        <v>695.71687840290383</v>
      </c>
      <c r="K19" s="48"/>
      <c r="M19" s="4"/>
      <c r="N19" s="42"/>
      <c r="O19" s="103"/>
      <c r="P19" s="50" t="s">
        <v>21</v>
      </c>
      <c r="Q19" s="50">
        <f>(Q14+Q15+Q17+Q18)/(100-Q8)%-(Q14+Q15+Q17+Q18)</f>
        <v>21.20418848167543</v>
      </c>
      <c r="R19" s="41"/>
      <c r="T19" s="50">
        <f>Q19-T14-T15</f>
        <v>6.4349577124446569</v>
      </c>
      <c r="U19" s="128" t="s">
        <v>62</v>
      </c>
    </row>
    <row r="20" spans="2:25" s="3" customFormat="1" ht="20.399999999999999" customHeight="1" x14ac:dyDescent="0.3">
      <c r="B20" s="44"/>
      <c r="C20" s="4"/>
      <c r="D20" s="4"/>
      <c r="E20" s="50"/>
      <c r="F20" s="49"/>
      <c r="G20" s="91"/>
      <c r="H20" s="101"/>
      <c r="I20" s="50"/>
      <c r="J20" s="49"/>
      <c r="K20" s="48"/>
      <c r="M20" s="4"/>
      <c r="N20" s="42"/>
      <c r="O20" s="101"/>
      <c r="P20" s="50"/>
      <c r="Q20" s="80"/>
      <c r="R20" s="41"/>
      <c r="Y20" s="4"/>
    </row>
    <row r="21" spans="2:25" s="3" customFormat="1" ht="20.399999999999999" customHeight="1" x14ac:dyDescent="0.3">
      <c r="B21" s="44"/>
      <c r="C21" s="4"/>
      <c r="D21" s="4"/>
      <c r="E21" s="4"/>
      <c r="F21" s="4"/>
      <c r="G21" s="93"/>
      <c r="H21" s="111"/>
      <c r="I21" s="46" t="s">
        <v>20</v>
      </c>
      <c r="J21" s="46">
        <f>F18-J18</f>
        <v>540</v>
      </c>
      <c r="K21" s="35"/>
      <c r="L21" s="76" t="s">
        <v>19</v>
      </c>
      <c r="N21" s="47">
        <f>J21+J22</f>
        <v>568.42105263157896</v>
      </c>
      <c r="O21" s="104"/>
      <c r="P21" s="51" t="s">
        <v>20</v>
      </c>
      <c r="Q21" s="51">
        <f>J21</f>
        <v>540</v>
      </c>
      <c r="R21" s="41"/>
    </row>
    <row r="22" spans="2:25" s="3" customFormat="1" ht="20.399999999999999" customHeight="1" x14ac:dyDescent="0.3">
      <c r="B22" s="44"/>
      <c r="C22" s="4"/>
      <c r="D22" s="4"/>
      <c r="E22" s="4"/>
      <c r="F22" s="4"/>
      <c r="G22" s="93"/>
      <c r="H22" s="111"/>
      <c r="I22" s="46" t="s">
        <v>18</v>
      </c>
      <c r="J22" s="46">
        <f>(J21/0.95)-J21</f>
        <v>28.421052631578959</v>
      </c>
      <c r="K22" s="35"/>
      <c r="L22" s="76" t="s">
        <v>17</v>
      </c>
      <c r="N22" s="45">
        <f>J22/N21%</f>
        <v>5.0000000000000018</v>
      </c>
      <c r="O22" s="104"/>
      <c r="P22" s="50" t="s">
        <v>18</v>
      </c>
      <c r="Q22" s="50">
        <f>J22</f>
        <v>28.421052631578959</v>
      </c>
      <c r="R22" s="41"/>
    </row>
    <row r="23" spans="2:25" s="3" customFormat="1" ht="20.399999999999999" customHeight="1" x14ac:dyDescent="0.3">
      <c r="B23" s="44"/>
      <c r="C23" s="4"/>
      <c r="D23" s="4"/>
      <c r="E23" s="4"/>
      <c r="F23" s="4"/>
      <c r="G23" s="93"/>
      <c r="H23" s="111"/>
      <c r="I23" s="46"/>
      <c r="J23" s="47"/>
      <c r="K23" s="35"/>
      <c r="L23" s="76" t="s">
        <v>16</v>
      </c>
      <c r="N23" s="45"/>
      <c r="O23" s="105"/>
      <c r="P23" s="46"/>
      <c r="Q23" s="43"/>
      <c r="R23" s="41"/>
    </row>
    <row r="24" spans="2:25" s="3" customFormat="1" ht="20.399999999999999" customHeight="1" x14ac:dyDescent="0.3">
      <c r="B24" s="44"/>
      <c r="C24" s="4"/>
      <c r="D24" s="4"/>
      <c r="E24" s="68" t="s">
        <v>33</v>
      </c>
      <c r="F24" s="69">
        <f>E10</f>
        <v>1000</v>
      </c>
      <c r="G24" s="94"/>
      <c r="H24" s="106"/>
      <c r="I24" s="68" t="s">
        <v>54</v>
      </c>
      <c r="J24" s="68">
        <f>J10+J21+J22</f>
        <v>1028.421052631579</v>
      </c>
      <c r="K24" s="4"/>
      <c r="N24" s="4"/>
      <c r="O24" s="106"/>
      <c r="P24" s="68" t="s">
        <v>32</v>
      </c>
      <c r="Q24" s="68">
        <f>Q14+Q15+Q16+Q17+Q18+Q19+Q21+Q22</f>
        <v>1049.6252411132543</v>
      </c>
      <c r="R24" s="41"/>
      <c r="T24" s="72" t="s">
        <v>51</v>
      </c>
    </row>
    <row r="25" spans="2:25" s="3" customFormat="1" ht="20.399999999999999" customHeight="1" x14ac:dyDescent="0.3">
      <c r="B25" s="44"/>
      <c r="C25" s="4"/>
      <c r="D25" s="4"/>
      <c r="E25" s="4"/>
      <c r="F25" s="4"/>
      <c r="G25" s="94"/>
      <c r="H25" s="106"/>
      <c r="I25" s="68"/>
      <c r="J25" s="69"/>
      <c r="K25" s="4"/>
      <c r="M25" s="46"/>
      <c r="N25" s="4"/>
      <c r="O25" s="106"/>
      <c r="P25" s="68"/>
      <c r="Q25" s="68"/>
      <c r="R25" s="41"/>
    </row>
    <row r="26" spans="2:25" s="3" customFormat="1" ht="20.399999999999999" customHeight="1" x14ac:dyDescent="0.3">
      <c r="B26" s="44"/>
      <c r="C26" s="4"/>
      <c r="D26" s="4"/>
      <c r="E26" s="53" t="s">
        <v>53</v>
      </c>
      <c r="F26" s="112">
        <f>F18/F19%</f>
        <v>103.57142857142856</v>
      </c>
      <c r="G26" s="113"/>
      <c r="H26" s="114"/>
      <c r="I26" s="53" t="s">
        <v>15</v>
      </c>
      <c r="J26" s="53">
        <f>J18/J19%</f>
        <v>30.184692440131474</v>
      </c>
      <c r="L26" s="52" t="s">
        <v>52</v>
      </c>
      <c r="M26" s="4"/>
      <c r="N26" s="4"/>
      <c r="O26" s="106"/>
      <c r="P26" s="70" t="s">
        <v>34</v>
      </c>
      <c r="Q26" s="81">
        <f>(Q19+Q22)/Q24%</f>
        <v>4.7279008897138208</v>
      </c>
      <c r="R26" s="41"/>
      <c r="T26" s="72" t="s">
        <v>40</v>
      </c>
    </row>
    <row r="27" spans="2:25" s="3" customFormat="1" ht="20.399999999999999" customHeight="1" x14ac:dyDescent="0.3">
      <c r="B27" s="44"/>
      <c r="C27" s="52"/>
      <c r="D27" s="4"/>
      <c r="E27" s="4"/>
      <c r="F27" s="4"/>
      <c r="G27" s="94"/>
      <c r="H27" s="106"/>
      <c r="J27" s="4"/>
      <c r="K27" s="4"/>
      <c r="L27" s="35"/>
      <c r="M27" s="4"/>
      <c r="N27" s="94"/>
      <c r="O27" s="106"/>
      <c r="P27" s="70" t="s">
        <v>50</v>
      </c>
      <c r="Q27" s="81">
        <f>Q19/Q24%</f>
        <v>2.0201675465793705</v>
      </c>
      <c r="R27" s="41"/>
      <c r="T27" s="72" t="s">
        <v>37</v>
      </c>
    </row>
    <row r="28" spans="2:25" s="3" customFormat="1" ht="20.399999999999999" customHeight="1" x14ac:dyDescent="0.3">
      <c r="B28" s="65"/>
      <c r="C28" s="63"/>
      <c r="D28" s="39"/>
      <c r="E28" s="39"/>
      <c r="F28" s="39"/>
      <c r="G28" s="108"/>
      <c r="H28" s="107"/>
      <c r="I28" s="38"/>
      <c r="J28" s="39"/>
      <c r="K28" s="39"/>
      <c r="L28" s="40"/>
      <c r="M28" s="39"/>
      <c r="N28" s="108"/>
      <c r="O28" s="107"/>
      <c r="P28" s="83"/>
      <c r="Q28" s="84"/>
      <c r="R28" s="37"/>
      <c r="T28" s="72" t="s">
        <v>41</v>
      </c>
    </row>
    <row r="29" spans="2:25" s="3" customFormat="1" ht="25.95" customHeight="1" x14ac:dyDescent="0.3">
      <c r="C29" s="4"/>
      <c r="D29" s="36"/>
      <c r="E29" s="4"/>
      <c r="F29" s="4"/>
      <c r="G29" s="4"/>
      <c r="H29" s="4"/>
      <c r="I29" s="4"/>
      <c r="J29" s="4"/>
      <c r="K29" s="4"/>
      <c r="L29" s="35"/>
      <c r="M29" s="4"/>
      <c r="N29" s="4"/>
      <c r="O29" s="4"/>
    </row>
    <row r="30" spans="2:25" s="3" customFormat="1" ht="15.6" customHeight="1" x14ac:dyDescent="0.3">
      <c r="B30" s="67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3"/>
    </row>
    <row r="31" spans="2:25" s="3" customFormat="1" ht="15.6" customHeight="1" x14ac:dyDescent="0.35">
      <c r="B31" s="44"/>
      <c r="C31" s="66" t="s">
        <v>14</v>
      </c>
      <c r="D31" s="32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29"/>
    </row>
    <row r="32" spans="2:25" s="3" customFormat="1" ht="15.6" customHeight="1" x14ac:dyDescent="0.3">
      <c r="B32" s="44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29"/>
    </row>
    <row r="33" spans="2:18" s="3" customFormat="1" ht="15.6" customHeight="1" x14ac:dyDescent="0.3">
      <c r="B33" s="44"/>
      <c r="E33" s="31" t="s">
        <v>13</v>
      </c>
      <c r="F33" s="30"/>
      <c r="G33" s="26">
        <v>75</v>
      </c>
      <c r="H33" s="71"/>
      <c r="I33" s="30"/>
      <c r="J33" s="30"/>
      <c r="K33" s="30"/>
      <c r="L33" s="30"/>
      <c r="M33" s="30"/>
      <c r="N33" s="30"/>
      <c r="O33" s="30"/>
      <c r="P33" s="30"/>
      <c r="Q33" s="30"/>
      <c r="R33" s="29"/>
    </row>
    <row r="34" spans="2:18" s="3" customFormat="1" ht="15.6" customHeight="1" x14ac:dyDescent="0.3">
      <c r="B34" s="44"/>
      <c r="C34" s="30"/>
      <c r="D34" s="28"/>
      <c r="E34" s="30"/>
      <c r="F34" s="30"/>
      <c r="G34" s="30"/>
      <c r="H34" s="30"/>
      <c r="I34" s="30"/>
      <c r="J34" s="28"/>
      <c r="K34" s="30"/>
      <c r="L34" s="30"/>
      <c r="M34" s="30"/>
      <c r="N34" s="30"/>
      <c r="O34" s="30"/>
      <c r="P34" s="30"/>
      <c r="Q34" s="30"/>
      <c r="R34" s="29"/>
    </row>
    <row r="35" spans="2:18" s="3" customFormat="1" ht="15.6" customHeight="1" x14ac:dyDescent="0.3">
      <c r="B35" s="44"/>
      <c r="C35" s="8"/>
      <c r="D35" s="28"/>
      <c r="E35" s="18" t="s">
        <v>12</v>
      </c>
      <c r="F35" s="27" t="s">
        <v>11</v>
      </c>
      <c r="G35" s="26">
        <v>58</v>
      </c>
      <c r="H35" s="71"/>
      <c r="I35" s="15" t="s">
        <v>5</v>
      </c>
      <c r="J35" s="28"/>
      <c r="K35" s="8"/>
      <c r="L35" s="124" t="s">
        <v>60</v>
      </c>
      <c r="M35" s="27" t="s">
        <v>10</v>
      </c>
      <c r="N35" s="26">
        <v>39.799999999999997</v>
      </c>
      <c r="O35" s="71"/>
      <c r="P35" s="8"/>
      <c r="Q35" s="8"/>
      <c r="R35" s="7"/>
    </row>
    <row r="36" spans="2:18" s="3" customFormat="1" ht="15.6" customHeight="1" x14ac:dyDescent="0.3">
      <c r="B36" s="44"/>
      <c r="C36" s="8"/>
      <c r="D36" s="8"/>
      <c r="E36" s="8"/>
      <c r="F36" s="8"/>
      <c r="G36" s="8"/>
      <c r="H36" s="8"/>
      <c r="I36" s="22"/>
      <c r="J36" s="8"/>
      <c r="K36" s="8"/>
      <c r="L36" s="8"/>
      <c r="M36" s="8"/>
      <c r="N36" s="8"/>
      <c r="O36" s="8"/>
      <c r="P36" s="8"/>
      <c r="Q36" s="8"/>
      <c r="R36" s="7"/>
    </row>
    <row r="37" spans="2:18" s="3" customFormat="1" ht="15.6" customHeight="1" x14ac:dyDescent="0.3">
      <c r="B37" s="44"/>
      <c r="C37" s="8"/>
      <c r="D37" s="8"/>
      <c r="E37" s="8"/>
      <c r="F37" s="24"/>
      <c r="G37" s="24"/>
      <c r="H37" s="24"/>
      <c r="I37" s="25"/>
      <c r="J37" s="24"/>
      <c r="K37" s="24"/>
      <c r="L37" s="24"/>
      <c r="M37" s="24"/>
      <c r="N37" s="24"/>
      <c r="O37" s="8"/>
      <c r="P37" s="15" t="s">
        <v>6</v>
      </c>
      <c r="Q37" s="23">
        <v>9500</v>
      </c>
      <c r="R37" s="7"/>
    </row>
    <row r="38" spans="2:18" s="3" customFormat="1" ht="15.6" customHeight="1" x14ac:dyDescent="0.3">
      <c r="B38" s="44"/>
      <c r="C38" s="8"/>
      <c r="E38" s="18"/>
      <c r="F38" s="21" t="s">
        <v>9</v>
      </c>
      <c r="G38" s="19"/>
      <c r="H38" s="117"/>
      <c r="I38" s="22"/>
      <c r="J38" s="21" t="s">
        <v>8</v>
      </c>
      <c r="K38" s="20"/>
      <c r="L38" s="19"/>
      <c r="M38" s="8"/>
      <c r="N38" s="8"/>
      <c r="O38" s="8"/>
      <c r="P38" s="8"/>
      <c r="Q38" s="8"/>
      <c r="R38" s="7"/>
    </row>
    <row r="39" spans="2:18" s="3" customFormat="1" ht="15.6" customHeight="1" x14ac:dyDescent="0.3">
      <c r="B39" s="44"/>
      <c r="C39" s="8"/>
      <c r="E39" s="18" t="s">
        <v>7</v>
      </c>
      <c r="F39" s="17">
        <v>1</v>
      </c>
      <c r="G39" s="16">
        <f>G35*G33%</f>
        <v>43.5</v>
      </c>
      <c r="H39" s="110"/>
      <c r="I39" s="15" t="s">
        <v>6</v>
      </c>
      <c r="J39" s="129">
        <v>95</v>
      </c>
      <c r="K39" s="14" t="s">
        <v>5</v>
      </c>
      <c r="L39" s="13">
        <f>N35</f>
        <v>39.799999999999997</v>
      </c>
      <c r="M39" s="8"/>
      <c r="N39" s="8"/>
      <c r="O39" s="8"/>
      <c r="P39" s="8"/>
      <c r="Q39" s="8"/>
      <c r="R39" s="7"/>
    </row>
    <row r="40" spans="2:18" s="3" customFormat="1" ht="15.6" customHeight="1" x14ac:dyDescent="0.3">
      <c r="B40" s="44"/>
      <c r="C40" s="8"/>
      <c r="D40" s="8"/>
      <c r="E40" s="8"/>
      <c r="F40" s="8"/>
      <c r="G40" s="8"/>
      <c r="H40" s="8"/>
      <c r="I40" s="12"/>
      <c r="J40" s="8"/>
      <c r="K40" s="8"/>
      <c r="L40" s="8"/>
      <c r="M40" s="8"/>
      <c r="N40" s="8"/>
      <c r="O40" s="8"/>
      <c r="P40" s="8"/>
      <c r="Q40" s="8"/>
      <c r="R40" s="7"/>
    </row>
    <row r="41" spans="2:18" s="3" customFormat="1" ht="18" x14ac:dyDescent="0.3">
      <c r="B41" s="44"/>
      <c r="C41" s="8"/>
      <c r="E41" s="11" t="s">
        <v>4</v>
      </c>
      <c r="F41" s="10">
        <f>((G35-N35)/(G39*(J39-L39)))*Q37</f>
        <v>72.005663834749299</v>
      </c>
      <c r="G41" s="9" t="s">
        <v>3</v>
      </c>
      <c r="H41" s="9"/>
      <c r="I41" s="9"/>
      <c r="J41" s="8"/>
      <c r="K41" s="8"/>
      <c r="L41" s="8"/>
      <c r="M41" s="8"/>
      <c r="N41" s="8"/>
      <c r="O41" s="8"/>
      <c r="P41" s="8"/>
      <c r="Q41" s="8"/>
      <c r="R41" s="7"/>
    </row>
    <row r="42" spans="2:18" s="3" customFormat="1" x14ac:dyDescent="0.3">
      <c r="B42" s="6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5"/>
    </row>
    <row r="43" spans="2:18" s="3" customFormat="1" x14ac:dyDescent="0.3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8" s="3" customFormat="1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8" x14ac:dyDescent="0.3">
      <c r="C45" s="1" t="s">
        <v>2</v>
      </c>
      <c r="E45" s="2"/>
      <c r="L45" s="2"/>
    </row>
    <row r="46" spans="2:18" x14ac:dyDescent="0.3">
      <c r="C46" s="1" t="s">
        <v>1</v>
      </c>
    </row>
    <row r="47" spans="2:18" x14ac:dyDescent="0.3">
      <c r="C47" s="1" t="s">
        <v>0</v>
      </c>
    </row>
    <row r="49" spans="3:5" x14ac:dyDescent="0.3">
      <c r="C49" s="35" t="s">
        <v>48</v>
      </c>
    </row>
    <row r="51" spans="3:5" x14ac:dyDescent="0.3">
      <c r="C51" s="122" t="s">
        <v>49</v>
      </c>
      <c r="D51" s="122"/>
      <c r="E51" s="122"/>
    </row>
  </sheetData>
  <printOptions horizontalCentered="1" verticalCentered="1"/>
  <pageMargins left="0.70866141732283472" right="0.70866141732283472" top="0.35433070866141736" bottom="0.39370078740157483" header="0.31496062992125984" footer="0.31496062992125984"/>
  <pageSetup paperSize="9" scale="7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Crystallization</vt:lpstr>
      <vt:lpstr>Crystallization!Zone_d_impression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VALOT</dc:creator>
  <cp:lastModifiedBy>Gilles VALOT</cp:lastModifiedBy>
  <cp:lastPrinted>2023-08-29T07:54:41Z</cp:lastPrinted>
  <dcterms:created xsi:type="dcterms:W3CDTF">2022-05-27T13:33:43Z</dcterms:created>
  <dcterms:modified xsi:type="dcterms:W3CDTF">2023-09-02T15:22:09Z</dcterms:modified>
</cp:coreProperties>
</file>