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ink/ink1.xml" ContentType="application/inkml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24ca1d963a7df93/Outils/"/>
    </mc:Choice>
  </mc:AlternateContent>
  <xr:revisionPtr revIDLastSave="0" documentId="8_{46047D87-D30E-4DC1-808D-A4659734B270}" xr6:coauthVersionLast="47" xr6:coauthVersionMax="47" xr10:uidLastSave="{00000000-0000-0000-0000-000000000000}"/>
  <bookViews>
    <workbookView xWindow="-108" yWindow="-108" windowWidth="23256" windowHeight="12576" xr2:uid="{16FADA84-DC6B-43E4-8D44-2C8DD26C841F}"/>
  </bookViews>
  <sheets>
    <sheet name="Rem &amp; biblio" sheetId="11" r:id="rId1"/>
    <sheet name="Simul 1" sheetId="4" r:id="rId2"/>
    <sheet name="Mollier S1" sheetId="2" r:id="rId3"/>
    <sheet name="Simul 2" sheetId="8" r:id="rId4"/>
    <sheet name="Simul 3" sheetId="12" r:id="rId5"/>
    <sheet name="Mollier S3" sheetId="9" r:id="rId6"/>
    <sheet name="Schéma" sheetId="7" r:id="rId7"/>
    <sheet name="Air humide" sheetId="5" state="hidden" r:id="rId8"/>
  </sheets>
  <definedNames>
    <definedName name="anscount" hidden="1">1</definedName>
    <definedName name="base">#REF!</definedName>
    <definedName name="f">#REF!</definedName>
    <definedName name="h">#REF!</definedName>
    <definedName name="_xlnm.Print_Titles" localSheetId="1">'Simul 1'!$1:$2</definedName>
    <definedName name="_xlnm.Print_Titles" localSheetId="3">'Simul 2'!$1:$2</definedName>
    <definedName name="t">#REF!</definedName>
    <definedName name="v">#REF!</definedName>
    <definedName name="_xlnm.Print_Area" localSheetId="2">'Mollier S1'!$A$1:$U$131</definedName>
    <definedName name="_xlnm.Print_Area" localSheetId="5">'Mollier S3'!$A$1:$V$132</definedName>
    <definedName name="_xlnm.Print_Area" localSheetId="0">'Rem &amp; biblio'!$B$1:$H$417</definedName>
    <definedName name="_xlnm.Print_Area" localSheetId="6">Schéma!$B$1:$J$41</definedName>
    <definedName name="_xlnm.Print_Area" localSheetId="1">'Simul 1'!$B$1:$L$123</definedName>
    <definedName name="_xlnm.Print_Area" localSheetId="3">'Simul 2'!$B$1:$L$122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1" i="8" l="1"/>
  <c r="G64" i="8" s="1"/>
  <c r="D114" i="12" a="1"/>
  <c r="D114" i="12" s="1"/>
  <c r="H38" i="8"/>
  <c r="H38" i="4"/>
  <c r="I46" i="12"/>
  <c r="K46" i="12" s="1"/>
  <c r="L46" i="12" s="1"/>
  <c r="H46" i="12"/>
  <c r="H51" i="12" s="1"/>
  <c r="H38" i="12"/>
  <c r="F51" i="12"/>
  <c r="D46" i="12"/>
  <c r="E46" i="12" s="1"/>
  <c r="D173" i="12"/>
  <c r="B147" i="12"/>
  <c r="D132" i="12" a="1"/>
  <c r="D132" i="12" s="1"/>
  <c r="D123" i="12" a="1"/>
  <c r="D123" i="12" s="1"/>
  <c r="D105" i="12" a="1"/>
  <c r="D105" i="12" s="1"/>
  <c r="F95" i="12" a="1"/>
  <c r="F95" i="12" s="1"/>
  <c r="D86" i="12" a="1"/>
  <c r="D86" i="12" s="1"/>
  <c r="G79" i="12"/>
  <c r="I79" i="12" s="1"/>
  <c r="D77" i="12" a="1"/>
  <c r="D77" i="12" s="1"/>
  <c r="G70" i="12"/>
  <c r="I70" i="12" s="1"/>
  <c r="G73" i="12" s="1"/>
  <c r="G69" i="12"/>
  <c r="I69" i="12" s="1"/>
  <c r="G72" i="12" s="1"/>
  <c r="D68" i="12" a="1"/>
  <c r="D68" i="12" s="1"/>
  <c r="U62" i="12"/>
  <c r="U61" i="12" s="1"/>
  <c r="F59" i="12"/>
  <c r="I54" i="12"/>
  <c r="K54" i="12" s="1"/>
  <c r="L54" i="12" s="1"/>
  <c r="H54" i="12"/>
  <c r="H59" i="12" s="1"/>
  <c r="D54" i="12"/>
  <c r="E54" i="12" s="1"/>
  <c r="F43" i="12"/>
  <c r="I38" i="12"/>
  <c r="I43" i="12" s="1"/>
  <c r="D38" i="12"/>
  <c r="D39" i="12" s="1"/>
  <c r="U27" i="12"/>
  <c r="U26" i="12"/>
  <c r="U25" i="12"/>
  <c r="U24" i="12"/>
  <c r="U23" i="12"/>
  <c r="U22" i="12"/>
  <c r="U20" i="12"/>
  <c r="Z26" i="12" s="1"/>
  <c r="I19" i="12"/>
  <c r="D19" i="12"/>
  <c r="D20" i="12" s="1"/>
  <c r="C9" i="12"/>
  <c r="C8" i="12"/>
  <c r="H8" i="12" s="1"/>
  <c r="H9" i="12" s="1"/>
  <c r="O11" i="12" s="1"/>
  <c r="C6" i="12"/>
  <c r="C5" i="12"/>
  <c r="H5" i="12" s="1"/>
  <c r="C4" i="12"/>
  <c r="H4" i="12" s="1"/>
  <c r="J3" i="12"/>
  <c r="F43" i="8"/>
  <c r="F51" i="8"/>
  <c r="D156" i="8"/>
  <c r="D156" i="4"/>
  <c r="B130" i="4"/>
  <c r="B129" i="8"/>
  <c r="U21" i="8"/>
  <c r="Z26" i="8" s="1"/>
  <c r="D114" i="8" a="1"/>
  <c r="D114" i="8" s="1"/>
  <c r="D105" i="8" a="1"/>
  <c r="D105" i="8" s="1"/>
  <c r="D96" i="8" a="1"/>
  <c r="D96" i="8" s="1"/>
  <c r="F87" i="8" a="1"/>
  <c r="F87" i="8" s="1"/>
  <c r="D78" i="8" a="1"/>
  <c r="D78" i="8" s="1"/>
  <c r="G71" i="8"/>
  <c r="I71" i="8" s="1"/>
  <c r="D69" i="8" a="1"/>
  <c r="D69" i="8" s="1"/>
  <c r="G62" i="8"/>
  <c r="I62" i="8" s="1"/>
  <c r="G65" i="8" s="1"/>
  <c r="G61" i="8"/>
  <c r="D60" i="8" a="1"/>
  <c r="D60" i="8" s="1"/>
  <c r="U55" i="8"/>
  <c r="U54" i="8" s="1"/>
  <c r="I46" i="8"/>
  <c r="D46" i="8"/>
  <c r="E46" i="8" s="1"/>
  <c r="I38" i="8"/>
  <c r="D38" i="8"/>
  <c r="D39" i="8" s="1"/>
  <c r="U28" i="8"/>
  <c r="U27" i="8"/>
  <c r="U26" i="8"/>
  <c r="U25" i="8"/>
  <c r="U24" i="8"/>
  <c r="U23" i="8"/>
  <c r="I19" i="8"/>
  <c r="D19" i="8"/>
  <c r="F19" i="8" s="1"/>
  <c r="C9" i="8"/>
  <c r="C8" i="8"/>
  <c r="H8" i="8" s="1"/>
  <c r="C6" i="8"/>
  <c r="C5" i="8"/>
  <c r="H5" i="8" s="1"/>
  <c r="C4" i="8"/>
  <c r="H4" i="8" s="1"/>
  <c r="J3" i="8"/>
  <c r="U20" i="4"/>
  <c r="Z23" i="4" s="1"/>
  <c r="U22" i="4"/>
  <c r="U23" i="4"/>
  <c r="U24" i="4"/>
  <c r="U25" i="4"/>
  <c r="U26" i="4"/>
  <c r="U27" i="4"/>
  <c r="C8" i="4"/>
  <c r="C5" i="4"/>
  <c r="D115" i="4" a="1"/>
  <c r="D115" i="4" s="1"/>
  <c r="D106" i="4" a="1"/>
  <c r="D106" i="4" s="1"/>
  <c r="D97" i="4" a="1"/>
  <c r="D97" i="4" s="1"/>
  <c r="F87" i="4" a="1"/>
  <c r="F87" i="4" s="1"/>
  <c r="D78" i="4" a="1"/>
  <c r="D78" i="4" s="1"/>
  <c r="D69" i="4" a="1"/>
  <c r="D69" i="4" s="1"/>
  <c r="D60" i="4" a="1"/>
  <c r="D60" i="4" s="1"/>
  <c r="J46" i="12" l="1"/>
  <c r="F62" i="12"/>
  <c r="F31" i="12" s="1"/>
  <c r="G51" i="12"/>
  <c r="G115" i="12" s="1"/>
  <c r="I115" i="12" s="1"/>
  <c r="D47" i="12"/>
  <c r="I51" i="12"/>
  <c r="H6" i="12"/>
  <c r="H40" i="12" s="1"/>
  <c r="J38" i="12"/>
  <c r="J54" i="12"/>
  <c r="Z22" i="12"/>
  <c r="K38" i="12"/>
  <c r="L38" i="12" s="1"/>
  <c r="Z25" i="12"/>
  <c r="K43" i="12"/>
  <c r="L43" i="12" s="1"/>
  <c r="G108" i="12"/>
  <c r="I108" i="12" s="1"/>
  <c r="G111" i="12" s="1"/>
  <c r="J43" i="12"/>
  <c r="I75" i="12"/>
  <c r="G71" i="12" s="1"/>
  <c r="I71" i="12" s="1"/>
  <c r="G74" i="12" s="1"/>
  <c r="I72" i="12"/>
  <c r="F19" i="12"/>
  <c r="Z24" i="12"/>
  <c r="Z27" i="12"/>
  <c r="E38" i="12"/>
  <c r="J19" i="12"/>
  <c r="Z23" i="12"/>
  <c r="G59" i="12"/>
  <c r="G124" i="12" s="1"/>
  <c r="I124" i="12" s="1"/>
  <c r="G127" i="12" s="1"/>
  <c r="D55" i="12"/>
  <c r="Z28" i="8"/>
  <c r="H6" i="8"/>
  <c r="H24" i="8" s="1"/>
  <c r="E38" i="8"/>
  <c r="H19" i="8"/>
  <c r="F22" i="8"/>
  <c r="F27" i="8" s="1"/>
  <c r="F57" i="8"/>
  <c r="E57" i="8" s="1"/>
  <c r="K19" i="8"/>
  <c r="L19" i="8" s="1"/>
  <c r="Z26" i="4"/>
  <c r="Z22" i="4"/>
  <c r="K38" i="8"/>
  <c r="L38" i="8" s="1"/>
  <c r="K46" i="8"/>
  <c r="L46" i="8" s="1"/>
  <c r="H46" i="8"/>
  <c r="H51" i="8" s="1"/>
  <c r="G51" i="8" s="1"/>
  <c r="G106" i="8" s="1"/>
  <c r="I106" i="8" s="1"/>
  <c r="Z27" i="8"/>
  <c r="Z23" i="8"/>
  <c r="Z24" i="8"/>
  <c r="D20" i="8"/>
  <c r="D47" i="8"/>
  <c r="Z24" i="4"/>
  <c r="Z25" i="4"/>
  <c r="J38" i="8"/>
  <c r="H9" i="8"/>
  <c r="I67" i="8"/>
  <c r="G63" i="8" s="1"/>
  <c r="I63" i="8" s="1"/>
  <c r="G66" i="8" s="1"/>
  <c r="I64" i="8"/>
  <c r="J19" i="8"/>
  <c r="F54" i="8"/>
  <c r="F31" i="8" s="1"/>
  <c r="I43" i="8"/>
  <c r="J46" i="8"/>
  <c r="Z25" i="8"/>
  <c r="Z27" i="4"/>
  <c r="J2" i="5"/>
  <c r="J3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H2" i="5"/>
  <c r="H3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I2" i="5"/>
  <c r="E2" i="5" s="1"/>
  <c r="I3" i="5"/>
  <c r="I4" i="5"/>
  <c r="I5" i="5"/>
  <c r="I6" i="5"/>
  <c r="I7" i="5"/>
  <c r="I8" i="5"/>
  <c r="I9" i="5"/>
  <c r="I10" i="5"/>
  <c r="E10" i="5" s="1"/>
  <c r="I11" i="5"/>
  <c r="I12" i="5"/>
  <c r="I13" i="5"/>
  <c r="I14" i="5"/>
  <c r="I15" i="5"/>
  <c r="I16" i="5"/>
  <c r="I17" i="5"/>
  <c r="I18" i="5"/>
  <c r="E18" i="5" s="1"/>
  <c r="I19" i="5"/>
  <c r="I20" i="5"/>
  <c r="I21" i="5"/>
  <c r="I22" i="5"/>
  <c r="E22" i="5" s="1"/>
  <c r="I23" i="5"/>
  <c r="I24" i="5"/>
  <c r="I25" i="5"/>
  <c r="E3" i="5"/>
  <c r="E4" i="5"/>
  <c r="E5" i="5"/>
  <c r="E6" i="5"/>
  <c r="E7" i="5"/>
  <c r="E8" i="5"/>
  <c r="E9" i="5"/>
  <c r="E11" i="5"/>
  <c r="E12" i="5"/>
  <c r="E13" i="5"/>
  <c r="E14" i="5"/>
  <c r="E15" i="5"/>
  <c r="E16" i="5"/>
  <c r="E17" i="5"/>
  <c r="E19" i="5"/>
  <c r="E20" i="5"/>
  <c r="E21" i="5"/>
  <c r="E23" i="5"/>
  <c r="E24" i="5"/>
  <c r="E25" i="5"/>
  <c r="E26" i="5"/>
  <c r="D2" i="5"/>
  <c r="D3" i="5"/>
  <c r="D4" i="5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C2" i="5"/>
  <c r="C3" i="5"/>
  <c r="C4" i="5"/>
  <c r="C5" i="5"/>
  <c r="C6" i="5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B2" i="5"/>
  <c r="B3" i="5"/>
  <c r="B4" i="5"/>
  <c r="B5" i="5"/>
  <c r="B6" i="5"/>
  <c r="B7" i="5"/>
  <c r="B8" i="5"/>
  <c r="B9" i="5"/>
  <c r="B10" i="5"/>
  <c r="B11" i="5"/>
  <c r="B12" i="5"/>
  <c r="B13" i="5"/>
  <c r="B14" i="5"/>
  <c r="B15" i="5"/>
  <c r="B16" i="5"/>
  <c r="B17" i="5"/>
  <c r="B18" i="5"/>
  <c r="B19" i="5"/>
  <c r="B20" i="5"/>
  <c r="B21" i="5"/>
  <c r="B22" i="5"/>
  <c r="B23" i="5"/>
  <c r="B24" i="5"/>
  <c r="B25" i="5"/>
  <c r="C26" i="5"/>
  <c r="I26" i="5" s="1"/>
  <c r="K51" i="12" l="1"/>
  <c r="L51" i="12" s="1"/>
  <c r="G117" i="12"/>
  <c r="I117" i="12" s="1"/>
  <c r="G120" i="12" s="1"/>
  <c r="G118" i="12"/>
  <c r="I118" i="12" s="1"/>
  <c r="K19" i="12"/>
  <c r="L19" i="12" s="1"/>
  <c r="F65" i="12"/>
  <c r="E65" i="12" s="1"/>
  <c r="G109" i="8"/>
  <c r="I109" i="8" s="1"/>
  <c r="C51" i="12"/>
  <c r="J51" i="12"/>
  <c r="H24" i="12"/>
  <c r="H65" i="12" s="1"/>
  <c r="H10" i="12"/>
  <c r="J8" i="12"/>
  <c r="H7" i="12"/>
  <c r="O13" i="12"/>
  <c r="U31" i="12"/>
  <c r="U32" i="12" s="1"/>
  <c r="I127" i="12"/>
  <c r="F22" i="12"/>
  <c r="H19" i="12"/>
  <c r="O13" i="8"/>
  <c r="H7" i="8"/>
  <c r="F34" i="8"/>
  <c r="H22" i="8"/>
  <c r="G22" i="8" s="1"/>
  <c r="D22" i="8" s="1"/>
  <c r="D23" i="8" s="1"/>
  <c r="U31" i="4"/>
  <c r="U32" i="4" s="1"/>
  <c r="U32" i="8"/>
  <c r="U33" i="8" s="1"/>
  <c r="U40" i="8" s="1"/>
  <c r="O11" i="8"/>
  <c r="H40" i="8"/>
  <c r="H43" i="8" s="1"/>
  <c r="G43" i="8" s="1"/>
  <c r="H10" i="8"/>
  <c r="J43" i="8"/>
  <c r="G99" i="8"/>
  <c r="I99" i="8" s="1"/>
  <c r="G102" i="8" s="1"/>
  <c r="K43" i="8"/>
  <c r="L43" i="8" s="1"/>
  <c r="H5" i="4"/>
  <c r="H8" i="4"/>
  <c r="U54" i="4"/>
  <c r="U53" i="4" s="1"/>
  <c r="C4" i="4"/>
  <c r="H4" i="4" s="1"/>
  <c r="O12" i="12" l="1"/>
  <c r="P12" i="12" s="1"/>
  <c r="D51" i="12"/>
  <c r="D52" i="12" s="1"/>
  <c r="G116" i="12"/>
  <c r="I116" i="12" s="1"/>
  <c r="I121" i="12" s="1"/>
  <c r="G52" i="12" s="1"/>
  <c r="G97" i="8"/>
  <c r="I97" i="8" s="1"/>
  <c r="C43" i="8"/>
  <c r="F27" i="12"/>
  <c r="H22" i="12"/>
  <c r="H43" i="12"/>
  <c r="I22" i="8"/>
  <c r="E22" i="8"/>
  <c r="G70" i="8"/>
  <c r="I70" i="8" s="1"/>
  <c r="H27" i="8"/>
  <c r="G27" i="8" s="1"/>
  <c r="G79" i="8" s="1"/>
  <c r="I79" i="8" s="1"/>
  <c r="G82" i="8" s="1"/>
  <c r="O12" i="8"/>
  <c r="P12" i="8" s="1"/>
  <c r="H57" i="8"/>
  <c r="H54" i="8"/>
  <c r="H31" i="8" s="1"/>
  <c r="I46" i="4"/>
  <c r="J46" i="4" s="1"/>
  <c r="F43" i="4"/>
  <c r="D46" i="4"/>
  <c r="E46" i="4" s="1"/>
  <c r="D38" i="4"/>
  <c r="E38" i="4" s="1"/>
  <c r="C6" i="4"/>
  <c r="H6" i="4" s="1"/>
  <c r="J8" i="4" s="1"/>
  <c r="G62" i="4"/>
  <c r="I746" i="5"/>
  <c r="J746" i="5" s="1"/>
  <c r="B746" i="5"/>
  <c r="B745" i="5"/>
  <c r="B744" i="5"/>
  <c r="B743" i="5"/>
  <c r="B742" i="5"/>
  <c r="B741" i="5"/>
  <c r="B740" i="5"/>
  <c r="B739" i="5"/>
  <c r="B738" i="5"/>
  <c r="B737" i="5"/>
  <c r="B736" i="5"/>
  <c r="B735" i="5"/>
  <c r="B734" i="5"/>
  <c r="B733" i="5"/>
  <c r="B732" i="5"/>
  <c r="B731" i="5"/>
  <c r="B730" i="5"/>
  <c r="B729" i="5"/>
  <c r="B728" i="5"/>
  <c r="B727" i="5"/>
  <c r="B726" i="5"/>
  <c r="B725" i="5"/>
  <c r="B724" i="5"/>
  <c r="B723" i="5"/>
  <c r="B722" i="5"/>
  <c r="B721" i="5"/>
  <c r="B720" i="5"/>
  <c r="B719" i="5"/>
  <c r="B718" i="5"/>
  <c r="B717" i="5"/>
  <c r="B716" i="5"/>
  <c r="B715" i="5"/>
  <c r="B714" i="5"/>
  <c r="B713" i="5"/>
  <c r="B712" i="5"/>
  <c r="B711" i="5"/>
  <c r="B710" i="5"/>
  <c r="B709" i="5"/>
  <c r="B708" i="5"/>
  <c r="B707" i="5"/>
  <c r="I706" i="5"/>
  <c r="B706" i="5"/>
  <c r="B705" i="5"/>
  <c r="B704" i="5"/>
  <c r="B703" i="5"/>
  <c r="B702" i="5"/>
  <c r="B701" i="5"/>
  <c r="B700" i="5"/>
  <c r="B699" i="5"/>
  <c r="B698" i="5"/>
  <c r="B697" i="5"/>
  <c r="B696" i="5"/>
  <c r="B695" i="5"/>
  <c r="B694" i="5"/>
  <c r="B693" i="5"/>
  <c r="B692" i="5"/>
  <c r="B691" i="5"/>
  <c r="B690" i="5"/>
  <c r="B689" i="5"/>
  <c r="B688" i="5"/>
  <c r="B687" i="5"/>
  <c r="B686" i="5"/>
  <c r="B685" i="5"/>
  <c r="B684" i="5"/>
  <c r="B683" i="5"/>
  <c r="B682" i="5"/>
  <c r="B681" i="5"/>
  <c r="B680" i="5"/>
  <c r="B679" i="5"/>
  <c r="B678" i="5"/>
  <c r="B677" i="5"/>
  <c r="B676" i="5"/>
  <c r="B675" i="5"/>
  <c r="B674" i="5"/>
  <c r="B673" i="5"/>
  <c r="B672" i="5"/>
  <c r="B671" i="5"/>
  <c r="B670" i="5"/>
  <c r="B669" i="5"/>
  <c r="B668" i="5"/>
  <c r="B667" i="5"/>
  <c r="I666" i="5"/>
  <c r="B666" i="5"/>
  <c r="B665" i="5"/>
  <c r="B664" i="5"/>
  <c r="B663" i="5"/>
  <c r="B662" i="5"/>
  <c r="B661" i="5"/>
  <c r="B660" i="5"/>
  <c r="B659" i="5"/>
  <c r="B658" i="5"/>
  <c r="B657" i="5"/>
  <c r="B656" i="5"/>
  <c r="B655" i="5"/>
  <c r="B654" i="5"/>
  <c r="B653" i="5"/>
  <c r="B652" i="5"/>
  <c r="B651" i="5"/>
  <c r="B650" i="5"/>
  <c r="B649" i="5"/>
  <c r="B648" i="5"/>
  <c r="B647" i="5"/>
  <c r="B646" i="5"/>
  <c r="B645" i="5"/>
  <c r="B644" i="5"/>
  <c r="B643" i="5"/>
  <c r="B642" i="5"/>
  <c r="B641" i="5"/>
  <c r="B640" i="5"/>
  <c r="B639" i="5"/>
  <c r="B638" i="5"/>
  <c r="B637" i="5"/>
  <c r="B636" i="5"/>
  <c r="B635" i="5"/>
  <c r="B634" i="5"/>
  <c r="B633" i="5"/>
  <c r="B632" i="5"/>
  <c r="B631" i="5"/>
  <c r="B630" i="5"/>
  <c r="B629" i="5"/>
  <c r="B628" i="5"/>
  <c r="B627" i="5"/>
  <c r="I626" i="5"/>
  <c r="J626" i="5" s="1"/>
  <c r="B626" i="5"/>
  <c r="B625" i="5"/>
  <c r="B624" i="5"/>
  <c r="B623" i="5"/>
  <c r="B622" i="5"/>
  <c r="B621" i="5"/>
  <c r="B620" i="5"/>
  <c r="B619" i="5"/>
  <c r="B618" i="5"/>
  <c r="B617" i="5"/>
  <c r="B616" i="5"/>
  <c r="B615" i="5"/>
  <c r="B614" i="5"/>
  <c r="B613" i="5"/>
  <c r="B612" i="5"/>
  <c r="B611" i="5"/>
  <c r="B610" i="5"/>
  <c r="B609" i="5"/>
  <c r="B608" i="5"/>
  <c r="B607" i="5"/>
  <c r="B606" i="5"/>
  <c r="B605" i="5"/>
  <c r="B604" i="5"/>
  <c r="B603" i="5"/>
  <c r="B602" i="5"/>
  <c r="B601" i="5"/>
  <c r="B600" i="5"/>
  <c r="B599" i="5"/>
  <c r="B598" i="5"/>
  <c r="B597" i="5"/>
  <c r="B596" i="5"/>
  <c r="B595" i="5"/>
  <c r="B594" i="5"/>
  <c r="B593" i="5"/>
  <c r="B592" i="5"/>
  <c r="B591" i="5"/>
  <c r="B590" i="5"/>
  <c r="B589" i="5"/>
  <c r="B588" i="5"/>
  <c r="B587" i="5"/>
  <c r="I586" i="5"/>
  <c r="J586" i="5" s="1"/>
  <c r="B586" i="5"/>
  <c r="B585" i="5"/>
  <c r="B584" i="5"/>
  <c r="B583" i="5"/>
  <c r="B582" i="5"/>
  <c r="B581" i="5"/>
  <c r="B580" i="5"/>
  <c r="B579" i="5"/>
  <c r="B578" i="5"/>
  <c r="B577" i="5"/>
  <c r="B576" i="5"/>
  <c r="B575" i="5"/>
  <c r="B574" i="5"/>
  <c r="B573" i="5"/>
  <c r="B572" i="5"/>
  <c r="B571" i="5"/>
  <c r="B570" i="5"/>
  <c r="B569" i="5"/>
  <c r="B568" i="5"/>
  <c r="B567" i="5"/>
  <c r="B566" i="5"/>
  <c r="B565" i="5"/>
  <c r="B564" i="5"/>
  <c r="B563" i="5"/>
  <c r="B562" i="5"/>
  <c r="B561" i="5"/>
  <c r="B560" i="5"/>
  <c r="B559" i="5"/>
  <c r="B558" i="5"/>
  <c r="B557" i="5"/>
  <c r="B556" i="5"/>
  <c r="B555" i="5"/>
  <c r="B554" i="5"/>
  <c r="B553" i="5"/>
  <c r="B552" i="5"/>
  <c r="B551" i="5"/>
  <c r="B550" i="5"/>
  <c r="B549" i="5"/>
  <c r="B548" i="5"/>
  <c r="B547" i="5"/>
  <c r="J546" i="5"/>
  <c r="I546" i="5"/>
  <c r="E546" i="5" s="1"/>
  <c r="B546" i="5"/>
  <c r="B545" i="5"/>
  <c r="B544" i="5"/>
  <c r="B543" i="5"/>
  <c r="B542" i="5"/>
  <c r="B541" i="5"/>
  <c r="B540" i="5"/>
  <c r="B539" i="5"/>
  <c r="B538" i="5"/>
  <c r="B537" i="5"/>
  <c r="B536" i="5"/>
  <c r="B535" i="5"/>
  <c r="B534" i="5"/>
  <c r="B533" i="5"/>
  <c r="B532" i="5"/>
  <c r="B531" i="5"/>
  <c r="B530" i="5"/>
  <c r="B529" i="5"/>
  <c r="B528" i="5"/>
  <c r="B527" i="5"/>
  <c r="B526" i="5"/>
  <c r="B525" i="5"/>
  <c r="B524" i="5"/>
  <c r="B523" i="5"/>
  <c r="B522" i="5"/>
  <c r="B521" i="5"/>
  <c r="B520" i="5"/>
  <c r="B519" i="5"/>
  <c r="B518" i="5"/>
  <c r="B517" i="5"/>
  <c r="B516" i="5"/>
  <c r="B515" i="5"/>
  <c r="B514" i="5"/>
  <c r="B513" i="5"/>
  <c r="B512" i="5"/>
  <c r="B511" i="5"/>
  <c r="B510" i="5"/>
  <c r="B509" i="5"/>
  <c r="B508" i="5"/>
  <c r="B507" i="5"/>
  <c r="I506" i="5"/>
  <c r="J506" i="5" s="1"/>
  <c r="B506" i="5"/>
  <c r="B505" i="5"/>
  <c r="B504" i="5"/>
  <c r="B503" i="5"/>
  <c r="B502" i="5"/>
  <c r="B501" i="5"/>
  <c r="B500" i="5"/>
  <c r="B499" i="5"/>
  <c r="B498" i="5"/>
  <c r="B497" i="5"/>
  <c r="B496" i="5"/>
  <c r="B495" i="5"/>
  <c r="B494" i="5"/>
  <c r="B493" i="5"/>
  <c r="B492" i="5"/>
  <c r="B491" i="5"/>
  <c r="B490" i="5"/>
  <c r="B489" i="5"/>
  <c r="B488" i="5"/>
  <c r="B487" i="5"/>
  <c r="B486" i="5"/>
  <c r="B485" i="5"/>
  <c r="B484" i="5"/>
  <c r="B483" i="5"/>
  <c r="B482" i="5"/>
  <c r="B481" i="5"/>
  <c r="B480" i="5"/>
  <c r="B479" i="5"/>
  <c r="B478" i="5"/>
  <c r="B477" i="5"/>
  <c r="B476" i="5"/>
  <c r="B475" i="5"/>
  <c r="B474" i="5"/>
  <c r="B473" i="5"/>
  <c r="B472" i="5"/>
  <c r="B471" i="5"/>
  <c r="B470" i="5"/>
  <c r="B469" i="5"/>
  <c r="B468" i="5"/>
  <c r="B467" i="5"/>
  <c r="I466" i="5"/>
  <c r="B466" i="5"/>
  <c r="B465" i="5"/>
  <c r="B464" i="5"/>
  <c r="B463" i="5"/>
  <c r="B462" i="5"/>
  <c r="B461" i="5"/>
  <c r="B460" i="5"/>
  <c r="B459" i="5"/>
  <c r="B458" i="5"/>
  <c r="B457" i="5"/>
  <c r="B456" i="5"/>
  <c r="B455" i="5"/>
  <c r="B454" i="5"/>
  <c r="B453" i="5"/>
  <c r="B452" i="5"/>
  <c r="B451" i="5"/>
  <c r="B450" i="5"/>
  <c r="B449" i="5"/>
  <c r="B448" i="5"/>
  <c r="B447" i="5"/>
  <c r="B446" i="5"/>
  <c r="B445" i="5"/>
  <c r="B444" i="5"/>
  <c r="B443" i="5"/>
  <c r="B442" i="5"/>
  <c r="B441" i="5"/>
  <c r="B440" i="5"/>
  <c r="B439" i="5"/>
  <c r="B438" i="5"/>
  <c r="B437" i="5"/>
  <c r="B436" i="5"/>
  <c r="B435" i="5"/>
  <c r="B434" i="5"/>
  <c r="B433" i="5"/>
  <c r="B432" i="5"/>
  <c r="B431" i="5"/>
  <c r="B430" i="5"/>
  <c r="B429" i="5"/>
  <c r="B428" i="5"/>
  <c r="B427" i="5"/>
  <c r="C426" i="5"/>
  <c r="I426" i="5" s="1"/>
  <c r="B426" i="5"/>
  <c r="C425" i="5"/>
  <c r="B425" i="5"/>
  <c r="C424" i="5"/>
  <c r="B424" i="5"/>
  <c r="C423" i="5"/>
  <c r="B423" i="5"/>
  <c r="C422" i="5"/>
  <c r="B422" i="5"/>
  <c r="C421" i="5"/>
  <c r="B421" i="5"/>
  <c r="C420" i="5"/>
  <c r="B420" i="5"/>
  <c r="C419" i="5"/>
  <c r="B419" i="5"/>
  <c r="C418" i="5"/>
  <c r="B418" i="5"/>
  <c r="C417" i="5"/>
  <c r="B417" i="5"/>
  <c r="C416" i="5"/>
  <c r="B416" i="5"/>
  <c r="C415" i="5"/>
  <c r="B415" i="5"/>
  <c r="C414" i="5"/>
  <c r="B414" i="5"/>
  <c r="C413" i="5"/>
  <c r="B413" i="5"/>
  <c r="C412" i="5"/>
  <c r="B412" i="5"/>
  <c r="C411" i="5"/>
  <c r="B411" i="5"/>
  <c r="C410" i="5"/>
  <c r="B410" i="5"/>
  <c r="C409" i="5"/>
  <c r="B409" i="5"/>
  <c r="C408" i="5"/>
  <c r="B408" i="5"/>
  <c r="C407" i="5"/>
  <c r="B407" i="5"/>
  <c r="C406" i="5"/>
  <c r="I406" i="5" s="1"/>
  <c r="B406" i="5"/>
  <c r="C405" i="5"/>
  <c r="B405" i="5"/>
  <c r="C404" i="5"/>
  <c r="B404" i="5"/>
  <c r="C403" i="5"/>
  <c r="B403" i="5"/>
  <c r="C402" i="5"/>
  <c r="B402" i="5"/>
  <c r="C401" i="5"/>
  <c r="B401" i="5"/>
  <c r="C400" i="5"/>
  <c r="B400" i="5"/>
  <c r="C399" i="5"/>
  <c r="B399" i="5"/>
  <c r="C398" i="5"/>
  <c r="B398" i="5"/>
  <c r="C397" i="5"/>
  <c r="B397" i="5"/>
  <c r="C396" i="5"/>
  <c r="B396" i="5"/>
  <c r="C395" i="5"/>
  <c r="B395" i="5"/>
  <c r="C394" i="5"/>
  <c r="B394" i="5"/>
  <c r="C393" i="5"/>
  <c r="B393" i="5"/>
  <c r="C392" i="5"/>
  <c r="B392" i="5"/>
  <c r="C391" i="5"/>
  <c r="B391" i="5"/>
  <c r="C390" i="5"/>
  <c r="B390" i="5"/>
  <c r="C389" i="5"/>
  <c r="B389" i="5"/>
  <c r="C388" i="5"/>
  <c r="B388" i="5"/>
  <c r="C387" i="5"/>
  <c r="B387" i="5"/>
  <c r="I386" i="5"/>
  <c r="E386" i="5" s="1"/>
  <c r="C386" i="5"/>
  <c r="B386" i="5"/>
  <c r="C385" i="5"/>
  <c r="B385" i="5"/>
  <c r="C384" i="5"/>
  <c r="B384" i="5"/>
  <c r="C383" i="5"/>
  <c r="B383" i="5"/>
  <c r="C382" i="5"/>
  <c r="B382" i="5"/>
  <c r="C381" i="5"/>
  <c r="B381" i="5"/>
  <c r="C380" i="5"/>
  <c r="B380" i="5"/>
  <c r="C379" i="5"/>
  <c r="B379" i="5"/>
  <c r="C378" i="5"/>
  <c r="B378" i="5"/>
  <c r="C377" i="5"/>
  <c r="B377" i="5"/>
  <c r="C376" i="5"/>
  <c r="B376" i="5"/>
  <c r="C375" i="5"/>
  <c r="B375" i="5"/>
  <c r="C374" i="5"/>
  <c r="B374" i="5"/>
  <c r="C373" i="5"/>
  <c r="B373" i="5"/>
  <c r="C372" i="5"/>
  <c r="B372" i="5"/>
  <c r="C371" i="5"/>
  <c r="B371" i="5"/>
  <c r="C370" i="5"/>
  <c r="B370" i="5"/>
  <c r="C369" i="5"/>
  <c r="B369" i="5"/>
  <c r="C368" i="5"/>
  <c r="B368" i="5"/>
  <c r="C367" i="5"/>
  <c r="B367" i="5"/>
  <c r="C366" i="5"/>
  <c r="I366" i="5" s="1"/>
  <c r="J366" i="5" s="1"/>
  <c r="B366" i="5"/>
  <c r="C365" i="5"/>
  <c r="B365" i="5"/>
  <c r="C364" i="5"/>
  <c r="B364" i="5"/>
  <c r="C363" i="5"/>
  <c r="B363" i="5"/>
  <c r="C362" i="5"/>
  <c r="B362" i="5"/>
  <c r="C361" i="5"/>
  <c r="B361" i="5"/>
  <c r="C360" i="5"/>
  <c r="B360" i="5"/>
  <c r="C359" i="5"/>
  <c r="B359" i="5"/>
  <c r="C358" i="5"/>
  <c r="B358" i="5"/>
  <c r="C357" i="5"/>
  <c r="B357" i="5"/>
  <c r="C356" i="5"/>
  <c r="B356" i="5"/>
  <c r="C355" i="5"/>
  <c r="B355" i="5"/>
  <c r="C354" i="5"/>
  <c r="B354" i="5"/>
  <c r="C353" i="5"/>
  <c r="B353" i="5"/>
  <c r="C352" i="5"/>
  <c r="B352" i="5"/>
  <c r="C351" i="5"/>
  <c r="B351" i="5"/>
  <c r="C350" i="5"/>
  <c r="B350" i="5"/>
  <c r="C349" i="5"/>
  <c r="B349" i="5"/>
  <c r="C348" i="5"/>
  <c r="B348" i="5"/>
  <c r="C347" i="5"/>
  <c r="B347" i="5"/>
  <c r="C346" i="5"/>
  <c r="I346" i="5" s="1"/>
  <c r="B346" i="5"/>
  <c r="C345" i="5"/>
  <c r="B345" i="5"/>
  <c r="C344" i="5"/>
  <c r="B344" i="5"/>
  <c r="C343" i="5"/>
  <c r="B343" i="5"/>
  <c r="C342" i="5"/>
  <c r="B342" i="5"/>
  <c r="C341" i="5"/>
  <c r="B341" i="5"/>
  <c r="C340" i="5"/>
  <c r="B340" i="5"/>
  <c r="C339" i="5"/>
  <c r="B339" i="5"/>
  <c r="C338" i="5"/>
  <c r="B338" i="5"/>
  <c r="C337" i="5"/>
  <c r="B337" i="5"/>
  <c r="C336" i="5"/>
  <c r="B336" i="5"/>
  <c r="C335" i="5"/>
  <c r="B335" i="5"/>
  <c r="C334" i="5"/>
  <c r="B334" i="5"/>
  <c r="C333" i="5"/>
  <c r="B333" i="5"/>
  <c r="C332" i="5"/>
  <c r="B332" i="5"/>
  <c r="C331" i="5"/>
  <c r="B331" i="5"/>
  <c r="C330" i="5"/>
  <c r="B330" i="5"/>
  <c r="C329" i="5"/>
  <c r="B329" i="5"/>
  <c r="C328" i="5"/>
  <c r="B328" i="5"/>
  <c r="C327" i="5"/>
  <c r="B327" i="5"/>
  <c r="C326" i="5"/>
  <c r="I326" i="5" s="1"/>
  <c r="B326" i="5"/>
  <c r="C325" i="5"/>
  <c r="B325" i="5"/>
  <c r="C324" i="5"/>
  <c r="B324" i="5"/>
  <c r="C323" i="5"/>
  <c r="B323" i="5"/>
  <c r="C322" i="5"/>
  <c r="B322" i="5"/>
  <c r="C321" i="5"/>
  <c r="B321" i="5"/>
  <c r="C320" i="5"/>
  <c r="B320" i="5"/>
  <c r="C319" i="5"/>
  <c r="B319" i="5"/>
  <c r="C318" i="5"/>
  <c r="B318" i="5"/>
  <c r="C317" i="5"/>
  <c r="B317" i="5"/>
  <c r="C316" i="5"/>
  <c r="B316" i="5"/>
  <c r="C315" i="5"/>
  <c r="B315" i="5"/>
  <c r="C314" i="5"/>
  <c r="B314" i="5"/>
  <c r="C313" i="5"/>
  <c r="B313" i="5"/>
  <c r="C312" i="5"/>
  <c r="B312" i="5"/>
  <c r="C311" i="5"/>
  <c r="B311" i="5"/>
  <c r="C310" i="5"/>
  <c r="B310" i="5"/>
  <c r="C309" i="5"/>
  <c r="B309" i="5"/>
  <c r="C308" i="5"/>
  <c r="B308" i="5"/>
  <c r="C307" i="5"/>
  <c r="B307" i="5"/>
  <c r="C306" i="5"/>
  <c r="I306" i="5" s="1"/>
  <c r="B306" i="5"/>
  <c r="C305" i="5"/>
  <c r="B305" i="5"/>
  <c r="C304" i="5"/>
  <c r="B304" i="5"/>
  <c r="C303" i="5"/>
  <c r="B303" i="5"/>
  <c r="C302" i="5"/>
  <c r="B302" i="5"/>
  <c r="C301" i="5"/>
  <c r="B301" i="5"/>
  <c r="C300" i="5"/>
  <c r="B300" i="5"/>
  <c r="C299" i="5"/>
  <c r="B299" i="5"/>
  <c r="C298" i="5"/>
  <c r="B298" i="5"/>
  <c r="C297" i="5"/>
  <c r="B297" i="5"/>
  <c r="C296" i="5"/>
  <c r="B296" i="5"/>
  <c r="C295" i="5"/>
  <c r="B295" i="5"/>
  <c r="C294" i="5"/>
  <c r="B294" i="5"/>
  <c r="C293" i="5"/>
  <c r="B293" i="5"/>
  <c r="C292" i="5"/>
  <c r="B292" i="5"/>
  <c r="C291" i="5"/>
  <c r="B291" i="5"/>
  <c r="C290" i="5"/>
  <c r="B290" i="5"/>
  <c r="C289" i="5"/>
  <c r="B289" i="5"/>
  <c r="C288" i="5"/>
  <c r="B288" i="5"/>
  <c r="C287" i="5"/>
  <c r="B287" i="5"/>
  <c r="J286" i="5"/>
  <c r="C286" i="5"/>
  <c r="I286" i="5" s="1"/>
  <c r="E286" i="5" s="1"/>
  <c r="B286" i="5"/>
  <c r="C285" i="5"/>
  <c r="B285" i="5"/>
  <c r="C284" i="5"/>
  <c r="B284" i="5"/>
  <c r="C283" i="5"/>
  <c r="B283" i="5"/>
  <c r="C282" i="5"/>
  <c r="B282" i="5"/>
  <c r="C281" i="5"/>
  <c r="B281" i="5"/>
  <c r="C280" i="5"/>
  <c r="B280" i="5"/>
  <c r="C279" i="5"/>
  <c r="B279" i="5"/>
  <c r="C278" i="5"/>
  <c r="B278" i="5"/>
  <c r="C277" i="5"/>
  <c r="B277" i="5"/>
  <c r="C276" i="5"/>
  <c r="B276" i="5"/>
  <c r="C275" i="5"/>
  <c r="B275" i="5"/>
  <c r="C274" i="5"/>
  <c r="B274" i="5"/>
  <c r="C273" i="5"/>
  <c r="B273" i="5"/>
  <c r="C272" i="5"/>
  <c r="B272" i="5"/>
  <c r="C271" i="5"/>
  <c r="B271" i="5"/>
  <c r="C270" i="5"/>
  <c r="B270" i="5"/>
  <c r="C269" i="5"/>
  <c r="B269" i="5"/>
  <c r="C268" i="5"/>
  <c r="B268" i="5"/>
  <c r="C267" i="5"/>
  <c r="B267" i="5"/>
  <c r="I266" i="5"/>
  <c r="E266" i="5" s="1"/>
  <c r="C266" i="5"/>
  <c r="B266" i="5"/>
  <c r="C265" i="5"/>
  <c r="B265" i="5"/>
  <c r="C264" i="5"/>
  <c r="B264" i="5"/>
  <c r="C263" i="5"/>
  <c r="B263" i="5"/>
  <c r="C262" i="5"/>
  <c r="B262" i="5"/>
  <c r="C261" i="5"/>
  <c r="B261" i="5"/>
  <c r="C260" i="5"/>
  <c r="B260" i="5"/>
  <c r="C259" i="5"/>
  <c r="B259" i="5"/>
  <c r="C258" i="5"/>
  <c r="B258" i="5"/>
  <c r="C257" i="5"/>
  <c r="B257" i="5"/>
  <c r="I256" i="5"/>
  <c r="E256" i="5" s="1"/>
  <c r="C256" i="5"/>
  <c r="B256" i="5"/>
  <c r="C255" i="5"/>
  <c r="B255" i="5"/>
  <c r="C254" i="5"/>
  <c r="B254" i="5"/>
  <c r="C253" i="5"/>
  <c r="B253" i="5"/>
  <c r="C252" i="5"/>
  <c r="B252" i="5"/>
  <c r="C251" i="5"/>
  <c r="B251" i="5"/>
  <c r="C250" i="5"/>
  <c r="B250" i="5"/>
  <c r="C249" i="5"/>
  <c r="B249" i="5"/>
  <c r="C248" i="5"/>
  <c r="B248" i="5"/>
  <c r="C247" i="5"/>
  <c r="B247" i="5"/>
  <c r="C246" i="5"/>
  <c r="I246" i="5" s="1"/>
  <c r="B246" i="5"/>
  <c r="C245" i="5"/>
  <c r="B245" i="5"/>
  <c r="C244" i="5"/>
  <c r="B244" i="5"/>
  <c r="C243" i="5"/>
  <c r="B243" i="5"/>
  <c r="C242" i="5"/>
  <c r="B242" i="5"/>
  <c r="C241" i="5"/>
  <c r="B241" i="5"/>
  <c r="C240" i="5"/>
  <c r="B240" i="5"/>
  <c r="C239" i="5"/>
  <c r="B239" i="5"/>
  <c r="C238" i="5"/>
  <c r="B238" i="5"/>
  <c r="C237" i="5"/>
  <c r="B237" i="5"/>
  <c r="C236" i="5"/>
  <c r="I236" i="5" s="1"/>
  <c r="J236" i="5" s="1"/>
  <c r="B236" i="5"/>
  <c r="C235" i="5"/>
  <c r="B235" i="5"/>
  <c r="C234" i="5"/>
  <c r="B234" i="5"/>
  <c r="C233" i="5"/>
  <c r="B233" i="5"/>
  <c r="C232" i="5"/>
  <c r="B232" i="5"/>
  <c r="C231" i="5"/>
  <c r="B231" i="5"/>
  <c r="C230" i="5"/>
  <c r="B230" i="5"/>
  <c r="C229" i="5"/>
  <c r="B229" i="5"/>
  <c r="C228" i="5"/>
  <c r="B228" i="5"/>
  <c r="C227" i="5"/>
  <c r="B227" i="5"/>
  <c r="D226" i="5"/>
  <c r="B226" i="5"/>
  <c r="C225" i="5"/>
  <c r="D225" i="5" s="1"/>
  <c r="B225" i="5"/>
  <c r="C224" i="5"/>
  <c r="D224" i="5" s="1"/>
  <c r="B224" i="5"/>
  <c r="D223" i="5"/>
  <c r="C223" i="5"/>
  <c r="I223" i="5" s="1"/>
  <c r="B223" i="5"/>
  <c r="D222" i="5"/>
  <c r="C222" i="5"/>
  <c r="I222" i="5" s="1"/>
  <c r="B222" i="5"/>
  <c r="C221" i="5"/>
  <c r="B221" i="5"/>
  <c r="J220" i="5"/>
  <c r="I220" i="5"/>
  <c r="E220" i="5" s="1"/>
  <c r="H220" i="5" s="1"/>
  <c r="D220" i="5"/>
  <c r="C220" i="5"/>
  <c r="B220" i="5"/>
  <c r="C219" i="5"/>
  <c r="B219" i="5"/>
  <c r="D218" i="5"/>
  <c r="C218" i="5"/>
  <c r="I218" i="5" s="1"/>
  <c r="E218" i="5" s="1"/>
  <c r="H218" i="5" s="1"/>
  <c r="B218" i="5"/>
  <c r="C217" i="5"/>
  <c r="I217" i="5" s="1"/>
  <c r="B217" i="5"/>
  <c r="C216" i="5"/>
  <c r="I216" i="5" s="1"/>
  <c r="E216" i="5" s="1"/>
  <c r="H216" i="5" s="1"/>
  <c r="B216" i="5"/>
  <c r="C215" i="5"/>
  <c r="I215" i="5" s="1"/>
  <c r="B215" i="5"/>
  <c r="C214" i="5"/>
  <c r="I214" i="5" s="1"/>
  <c r="B214" i="5"/>
  <c r="C213" i="5"/>
  <c r="B213" i="5"/>
  <c r="D212" i="5"/>
  <c r="C212" i="5"/>
  <c r="I212" i="5" s="1"/>
  <c r="B212" i="5"/>
  <c r="C211" i="5"/>
  <c r="B211" i="5"/>
  <c r="C210" i="5"/>
  <c r="D210" i="5" s="1"/>
  <c r="B210" i="5"/>
  <c r="C209" i="5"/>
  <c r="I209" i="5" s="1"/>
  <c r="B209" i="5"/>
  <c r="H208" i="5"/>
  <c r="E208" i="5"/>
  <c r="D208" i="5"/>
  <c r="C208" i="5"/>
  <c r="I208" i="5" s="1"/>
  <c r="J208" i="5" s="1"/>
  <c r="B208" i="5"/>
  <c r="C207" i="5"/>
  <c r="I207" i="5" s="1"/>
  <c r="J207" i="5" s="1"/>
  <c r="B207" i="5"/>
  <c r="C206" i="5"/>
  <c r="B206" i="5"/>
  <c r="C205" i="5"/>
  <c r="B205" i="5"/>
  <c r="D204" i="5"/>
  <c r="C204" i="5"/>
  <c r="I204" i="5" s="1"/>
  <c r="B204" i="5"/>
  <c r="C203" i="5"/>
  <c r="B203" i="5"/>
  <c r="C202" i="5"/>
  <c r="D202" i="5" s="1"/>
  <c r="B202" i="5"/>
  <c r="I201" i="5"/>
  <c r="C201" i="5"/>
  <c r="D201" i="5" s="1"/>
  <c r="B201" i="5"/>
  <c r="C200" i="5"/>
  <c r="I200" i="5" s="1"/>
  <c r="J200" i="5" s="1"/>
  <c r="B200" i="5"/>
  <c r="C199" i="5"/>
  <c r="I199" i="5" s="1"/>
  <c r="B199" i="5"/>
  <c r="C198" i="5"/>
  <c r="I198" i="5" s="1"/>
  <c r="B198" i="5"/>
  <c r="C197" i="5"/>
  <c r="B197" i="5"/>
  <c r="D196" i="5"/>
  <c r="C196" i="5"/>
  <c r="I196" i="5" s="1"/>
  <c r="B196" i="5"/>
  <c r="C195" i="5"/>
  <c r="B195" i="5"/>
  <c r="I194" i="5"/>
  <c r="E194" i="5" s="1"/>
  <c r="H194" i="5" s="1"/>
  <c r="C194" i="5"/>
  <c r="D194" i="5" s="1"/>
  <c r="B194" i="5"/>
  <c r="C193" i="5"/>
  <c r="I193" i="5" s="1"/>
  <c r="B193" i="5"/>
  <c r="C192" i="5"/>
  <c r="I192" i="5" s="1"/>
  <c r="B192" i="5"/>
  <c r="C191" i="5"/>
  <c r="I191" i="5" s="1"/>
  <c r="B191" i="5"/>
  <c r="C190" i="5"/>
  <c r="I190" i="5" s="1"/>
  <c r="B190" i="5"/>
  <c r="C189" i="5"/>
  <c r="B189" i="5"/>
  <c r="I188" i="5"/>
  <c r="E188" i="5" s="1"/>
  <c r="H188" i="5" s="1"/>
  <c r="D188" i="5"/>
  <c r="C188" i="5"/>
  <c r="B188" i="5"/>
  <c r="C187" i="5"/>
  <c r="B187" i="5"/>
  <c r="C186" i="5"/>
  <c r="D186" i="5" s="1"/>
  <c r="B186" i="5"/>
  <c r="C185" i="5"/>
  <c r="I185" i="5" s="1"/>
  <c r="B185" i="5"/>
  <c r="C184" i="5"/>
  <c r="I184" i="5" s="1"/>
  <c r="E184" i="5" s="1"/>
  <c r="H184" i="5" s="1"/>
  <c r="B184" i="5"/>
  <c r="I183" i="5"/>
  <c r="J183" i="5" s="1"/>
  <c r="D183" i="5"/>
  <c r="C183" i="5"/>
  <c r="B183" i="5"/>
  <c r="C182" i="5"/>
  <c r="I182" i="5" s="1"/>
  <c r="B182" i="5"/>
  <c r="C181" i="5"/>
  <c r="B181" i="5"/>
  <c r="D180" i="5"/>
  <c r="C180" i="5"/>
  <c r="I180" i="5" s="1"/>
  <c r="B180" i="5"/>
  <c r="C179" i="5"/>
  <c r="B179" i="5"/>
  <c r="C178" i="5"/>
  <c r="D178" i="5" s="1"/>
  <c r="B178" i="5"/>
  <c r="C177" i="5"/>
  <c r="I177" i="5" s="1"/>
  <c r="B177" i="5"/>
  <c r="C176" i="5"/>
  <c r="I176" i="5" s="1"/>
  <c r="E176" i="5" s="1"/>
  <c r="H176" i="5" s="1"/>
  <c r="B176" i="5"/>
  <c r="C175" i="5"/>
  <c r="I175" i="5" s="1"/>
  <c r="B175" i="5"/>
  <c r="C174" i="5"/>
  <c r="B174" i="5"/>
  <c r="C173" i="5"/>
  <c r="B173" i="5"/>
  <c r="C172" i="5"/>
  <c r="I172" i="5" s="1"/>
  <c r="B172" i="5"/>
  <c r="C171" i="5"/>
  <c r="B171" i="5"/>
  <c r="I170" i="5"/>
  <c r="E170" i="5" s="1"/>
  <c r="H170" i="5" s="1"/>
  <c r="C170" i="5"/>
  <c r="D170" i="5" s="1"/>
  <c r="B170" i="5"/>
  <c r="I169" i="5"/>
  <c r="D169" i="5"/>
  <c r="C169" i="5"/>
  <c r="B169" i="5"/>
  <c r="D168" i="5"/>
  <c r="C168" i="5"/>
  <c r="I168" i="5" s="1"/>
  <c r="J168" i="5" s="1"/>
  <c r="B168" i="5"/>
  <c r="I167" i="5"/>
  <c r="D167" i="5"/>
  <c r="C167" i="5"/>
  <c r="B167" i="5"/>
  <c r="C166" i="5"/>
  <c r="I166" i="5" s="1"/>
  <c r="B166" i="5"/>
  <c r="C165" i="5"/>
  <c r="B165" i="5"/>
  <c r="C164" i="5"/>
  <c r="I164" i="5" s="1"/>
  <c r="B164" i="5"/>
  <c r="C163" i="5"/>
  <c r="B163" i="5"/>
  <c r="I162" i="5"/>
  <c r="E162" i="5" s="1"/>
  <c r="H162" i="5" s="1"/>
  <c r="C162" i="5"/>
  <c r="D162" i="5" s="1"/>
  <c r="B162" i="5"/>
  <c r="I161" i="5"/>
  <c r="C161" i="5"/>
  <c r="D161" i="5" s="1"/>
  <c r="B161" i="5"/>
  <c r="J160" i="5"/>
  <c r="E160" i="5"/>
  <c r="H160" i="5" s="1"/>
  <c r="D160" i="5"/>
  <c r="C160" i="5"/>
  <c r="I160" i="5" s="1"/>
  <c r="B160" i="5"/>
  <c r="C159" i="5"/>
  <c r="I159" i="5" s="1"/>
  <c r="B159" i="5"/>
  <c r="D158" i="5"/>
  <c r="C158" i="5"/>
  <c r="I158" i="5" s="1"/>
  <c r="B158" i="5"/>
  <c r="C157" i="5"/>
  <c r="B157" i="5"/>
  <c r="I156" i="5"/>
  <c r="E156" i="5" s="1"/>
  <c r="H156" i="5" s="1"/>
  <c r="D156" i="5"/>
  <c r="C156" i="5"/>
  <c r="B156" i="5"/>
  <c r="C155" i="5"/>
  <c r="B155" i="5"/>
  <c r="I154" i="5"/>
  <c r="E154" i="5" s="1"/>
  <c r="H154" i="5" s="1"/>
  <c r="C154" i="5"/>
  <c r="D154" i="5" s="1"/>
  <c r="B154" i="5"/>
  <c r="I153" i="5"/>
  <c r="D153" i="5"/>
  <c r="C153" i="5"/>
  <c r="B153" i="5"/>
  <c r="D152" i="5"/>
  <c r="C152" i="5"/>
  <c r="I152" i="5" s="1"/>
  <c r="E152" i="5" s="1"/>
  <c r="H152" i="5" s="1"/>
  <c r="B152" i="5"/>
  <c r="I151" i="5"/>
  <c r="J151" i="5" s="1"/>
  <c r="C151" i="5"/>
  <c r="D151" i="5" s="1"/>
  <c r="B151" i="5"/>
  <c r="C150" i="5"/>
  <c r="I150" i="5" s="1"/>
  <c r="B150" i="5"/>
  <c r="C149" i="5"/>
  <c r="B149" i="5"/>
  <c r="I148" i="5"/>
  <c r="E148" i="5" s="1"/>
  <c r="H148" i="5" s="1"/>
  <c r="C148" i="5"/>
  <c r="D148" i="5" s="1"/>
  <c r="B148" i="5"/>
  <c r="C147" i="5"/>
  <c r="B147" i="5"/>
  <c r="I146" i="5"/>
  <c r="E146" i="5" s="1"/>
  <c r="H146" i="5" s="1"/>
  <c r="C146" i="5"/>
  <c r="D146" i="5" s="1"/>
  <c r="B146" i="5"/>
  <c r="C145" i="5"/>
  <c r="I145" i="5" s="1"/>
  <c r="B145" i="5"/>
  <c r="E144" i="5"/>
  <c r="H144" i="5" s="1"/>
  <c r="D144" i="5"/>
  <c r="C144" i="5"/>
  <c r="I144" i="5" s="1"/>
  <c r="J144" i="5" s="1"/>
  <c r="B144" i="5"/>
  <c r="C143" i="5"/>
  <c r="I143" i="5" s="1"/>
  <c r="J143" i="5" s="1"/>
  <c r="B143" i="5"/>
  <c r="C142" i="5"/>
  <c r="I142" i="5" s="1"/>
  <c r="B142" i="5"/>
  <c r="C141" i="5"/>
  <c r="B141" i="5"/>
  <c r="C140" i="5"/>
  <c r="I140" i="5" s="1"/>
  <c r="B140" i="5"/>
  <c r="C139" i="5"/>
  <c r="B139" i="5"/>
  <c r="C138" i="5"/>
  <c r="D138" i="5" s="1"/>
  <c r="B138" i="5"/>
  <c r="I137" i="5"/>
  <c r="D137" i="5"/>
  <c r="C137" i="5"/>
  <c r="B137" i="5"/>
  <c r="J136" i="5"/>
  <c r="C136" i="5"/>
  <c r="I136" i="5" s="1"/>
  <c r="E136" i="5" s="1"/>
  <c r="H136" i="5" s="1"/>
  <c r="B136" i="5"/>
  <c r="I135" i="5"/>
  <c r="J135" i="5" s="1"/>
  <c r="D135" i="5"/>
  <c r="C135" i="5"/>
  <c r="B135" i="5"/>
  <c r="C134" i="5"/>
  <c r="I134" i="5" s="1"/>
  <c r="B134" i="5"/>
  <c r="C133" i="5"/>
  <c r="B133" i="5"/>
  <c r="C132" i="5"/>
  <c r="I132" i="5" s="1"/>
  <c r="B132" i="5"/>
  <c r="C131" i="5"/>
  <c r="B131" i="5"/>
  <c r="I130" i="5"/>
  <c r="E130" i="5" s="1"/>
  <c r="H130" i="5" s="1"/>
  <c r="C130" i="5"/>
  <c r="D130" i="5" s="1"/>
  <c r="B130" i="5"/>
  <c r="C129" i="5"/>
  <c r="I129" i="5" s="1"/>
  <c r="B129" i="5"/>
  <c r="H128" i="5"/>
  <c r="C128" i="5"/>
  <c r="I128" i="5" s="1"/>
  <c r="E128" i="5" s="1"/>
  <c r="B128" i="5"/>
  <c r="C127" i="5"/>
  <c r="I127" i="5" s="1"/>
  <c r="B127" i="5"/>
  <c r="D126" i="5"/>
  <c r="C126" i="5"/>
  <c r="I126" i="5" s="1"/>
  <c r="B126" i="5"/>
  <c r="C125" i="5"/>
  <c r="B125" i="5"/>
  <c r="I124" i="5"/>
  <c r="E124" i="5" s="1"/>
  <c r="H124" i="5" s="1"/>
  <c r="D124" i="5"/>
  <c r="C124" i="5"/>
  <c r="B124" i="5"/>
  <c r="I123" i="5"/>
  <c r="C123" i="5"/>
  <c r="D123" i="5" s="1"/>
  <c r="B123" i="5"/>
  <c r="C122" i="5"/>
  <c r="D122" i="5" s="1"/>
  <c r="B122" i="5"/>
  <c r="C121" i="5"/>
  <c r="I121" i="5" s="1"/>
  <c r="B121" i="5"/>
  <c r="C120" i="5"/>
  <c r="I120" i="5" s="1"/>
  <c r="J120" i="5" s="1"/>
  <c r="B120" i="5"/>
  <c r="I119" i="5"/>
  <c r="C119" i="5"/>
  <c r="D119" i="5" s="1"/>
  <c r="B119" i="5"/>
  <c r="C118" i="5"/>
  <c r="B118" i="5"/>
  <c r="C117" i="5"/>
  <c r="B117" i="5"/>
  <c r="C116" i="5"/>
  <c r="I116" i="5" s="1"/>
  <c r="B116" i="5"/>
  <c r="C115" i="5"/>
  <c r="B115" i="5"/>
  <c r="C114" i="5"/>
  <c r="D114" i="5" s="1"/>
  <c r="B114" i="5"/>
  <c r="I113" i="5"/>
  <c r="D113" i="5"/>
  <c r="C113" i="5"/>
  <c r="B113" i="5"/>
  <c r="C112" i="5"/>
  <c r="I112" i="5" s="1"/>
  <c r="J112" i="5" s="1"/>
  <c r="B112" i="5"/>
  <c r="C111" i="5"/>
  <c r="D111" i="5" s="1"/>
  <c r="B111" i="5"/>
  <c r="C110" i="5"/>
  <c r="B110" i="5"/>
  <c r="C109" i="5"/>
  <c r="B109" i="5"/>
  <c r="J108" i="5"/>
  <c r="I108" i="5"/>
  <c r="E108" i="5" s="1"/>
  <c r="H108" i="5" s="1"/>
  <c r="D108" i="5"/>
  <c r="C108" i="5"/>
  <c r="B108" i="5"/>
  <c r="C107" i="5"/>
  <c r="B107" i="5"/>
  <c r="C106" i="5"/>
  <c r="D106" i="5" s="1"/>
  <c r="B106" i="5"/>
  <c r="C105" i="5"/>
  <c r="I105" i="5" s="1"/>
  <c r="J105" i="5" s="1"/>
  <c r="B105" i="5"/>
  <c r="C104" i="5"/>
  <c r="B104" i="5"/>
  <c r="C103" i="5"/>
  <c r="B103" i="5"/>
  <c r="C102" i="5"/>
  <c r="I102" i="5" s="1"/>
  <c r="B102" i="5"/>
  <c r="I101" i="5"/>
  <c r="J101" i="5" s="1"/>
  <c r="E101" i="5"/>
  <c r="H101" i="5" s="1"/>
  <c r="C101" i="5"/>
  <c r="D101" i="5" s="1"/>
  <c r="B101" i="5"/>
  <c r="C100" i="5"/>
  <c r="D100" i="5" s="1"/>
  <c r="B100" i="5"/>
  <c r="C99" i="5"/>
  <c r="B99" i="5"/>
  <c r="C98" i="5"/>
  <c r="I98" i="5" s="1"/>
  <c r="J98" i="5" s="1"/>
  <c r="B98" i="5"/>
  <c r="C97" i="5"/>
  <c r="I97" i="5" s="1"/>
  <c r="E97" i="5" s="1"/>
  <c r="H97" i="5" s="1"/>
  <c r="B97" i="5"/>
  <c r="C96" i="5"/>
  <c r="D96" i="5" s="1"/>
  <c r="B96" i="5"/>
  <c r="C95" i="5"/>
  <c r="D95" i="5" s="1"/>
  <c r="B95" i="5"/>
  <c r="I94" i="5"/>
  <c r="E94" i="5" s="1"/>
  <c r="H94" i="5" s="1"/>
  <c r="C94" i="5"/>
  <c r="D94" i="5" s="1"/>
  <c r="B94" i="5"/>
  <c r="C93" i="5"/>
  <c r="I93" i="5" s="1"/>
  <c r="B93" i="5"/>
  <c r="C92" i="5"/>
  <c r="I92" i="5" s="1"/>
  <c r="B92" i="5"/>
  <c r="C91" i="5"/>
  <c r="B91" i="5"/>
  <c r="E90" i="5"/>
  <c r="H90" i="5" s="1"/>
  <c r="D90" i="5"/>
  <c r="C90" i="5"/>
  <c r="I90" i="5" s="1"/>
  <c r="J90" i="5" s="1"/>
  <c r="B90" i="5"/>
  <c r="C89" i="5"/>
  <c r="I89" i="5" s="1"/>
  <c r="E89" i="5" s="1"/>
  <c r="H89" i="5" s="1"/>
  <c r="B89" i="5"/>
  <c r="I88" i="5"/>
  <c r="E88" i="5" s="1"/>
  <c r="H88" i="5" s="1"/>
  <c r="C88" i="5"/>
  <c r="D88" i="5" s="1"/>
  <c r="B88" i="5"/>
  <c r="I87" i="5"/>
  <c r="C87" i="5"/>
  <c r="D87" i="5" s="1"/>
  <c r="B87" i="5"/>
  <c r="C86" i="5"/>
  <c r="I86" i="5" s="1"/>
  <c r="B86" i="5"/>
  <c r="C85" i="5"/>
  <c r="I85" i="5" s="1"/>
  <c r="B85" i="5"/>
  <c r="C84" i="5"/>
  <c r="D84" i="5" s="1"/>
  <c r="B84" i="5"/>
  <c r="C83" i="5"/>
  <c r="B83" i="5"/>
  <c r="D82" i="5"/>
  <c r="C82" i="5"/>
  <c r="I82" i="5" s="1"/>
  <c r="J82" i="5" s="1"/>
  <c r="B82" i="5"/>
  <c r="J81" i="5"/>
  <c r="C81" i="5"/>
  <c r="I81" i="5" s="1"/>
  <c r="E81" i="5" s="1"/>
  <c r="H81" i="5" s="1"/>
  <c r="B81" i="5"/>
  <c r="C80" i="5"/>
  <c r="D80" i="5" s="1"/>
  <c r="B80" i="5"/>
  <c r="I79" i="5"/>
  <c r="C79" i="5"/>
  <c r="D79" i="5" s="1"/>
  <c r="B79" i="5"/>
  <c r="J78" i="5"/>
  <c r="I78" i="5"/>
  <c r="E78" i="5" s="1"/>
  <c r="H78" i="5" s="1"/>
  <c r="D78" i="5"/>
  <c r="C78" i="5"/>
  <c r="B78" i="5"/>
  <c r="C77" i="5"/>
  <c r="I77" i="5" s="1"/>
  <c r="J77" i="5" s="1"/>
  <c r="B77" i="5"/>
  <c r="C76" i="5"/>
  <c r="I76" i="5" s="1"/>
  <c r="B76" i="5"/>
  <c r="C75" i="5"/>
  <c r="B75" i="5"/>
  <c r="C74" i="5"/>
  <c r="I74" i="5" s="1"/>
  <c r="J74" i="5" s="1"/>
  <c r="B74" i="5"/>
  <c r="C73" i="5"/>
  <c r="I73" i="5" s="1"/>
  <c r="E73" i="5" s="1"/>
  <c r="H73" i="5" s="1"/>
  <c r="B73" i="5"/>
  <c r="C72" i="5"/>
  <c r="D72" i="5" s="1"/>
  <c r="B72" i="5"/>
  <c r="C71" i="5"/>
  <c r="D71" i="5" s="1"/>
  <c r="B71" i="5"/>
  <c r="I70" i="5"/>
  <c r="J70" i="5" s="1"/>
  <c r="C70" i="5"/>
  <c r="D70" i="5" s="1"/>
  <c r="B70" i="5"/>
  <c r="I69" i="5"/>
  <c r="J69" i="5" s="1"/>
  <c r="E69" i="5"/>
  <c r="H69" i="5" s="1"/>
  <c r="D69" i="5"/>
  <c r="C69" i="5"/>
  <c r="B69" i="5"/>
  <c r="C68" i="5"/>
  <c r="D68" i="5" s="1"/>
  <c r="B68" i="5"/>
  <c r="C67" i="5"/>
  <c r="B67" i="5"/>
  <c r="E66" i="5"/>
  <c r="H66" i="5" s="1"/>
  <c r="C66" i="5"/>
  <c r="I66" i="5" s="1"/>
  <c r="J66" i="5" s="1"/>
  <c r="B66" i="5"/>
  <c r="C65" i="5"/>
  <c r="I65" i="5" s="1"/>
  <c r="B65" i="5"/>
  <c r="C64" i="5"/>
  <c r="D64" i="5" s="1"/>
  <c r="B64" i="5"/>
  <c r="I63" i="5"/>
  <c r="J63" i="5" s="1"/>
  <c r="C63" i="5"/>
  <c r="D63" i="5" s="1"/>
  <c r="B63" i="5"/>
  <c r="I62" i="5"/>
  <c r="J62" i="5" s="1"/>
  <c r="E62" i="5"/>
  <c r="H62" i="5" s="1"/>
  <c r="D62" i="5"/>
  <c r="C62" i="5"/>
  <c r="B62" i="5"/>
  <c r="C61" i="5"/>
  <c r="D61" i="5" s="1"/>
  <c r="B61" i="5"/>
  <c r="C60" i="5"/>
  <c r="I60" i="5" s="1"/>
  <c r="B60" i="5"/>
  <c r="C59" i="5"/>
  <c r="B59" i="5"/>
  <c r="C58" i="5"/>
  <c r="I58" i="5" s="1"/>
  <c r="J58" i="5" s="1"/>
  <c r="B58" i="5"/>
  <c r="I57" i="5"/>
  <c r="E57" i="5" s="1"/>
  <c r="H57" i="5" s="1"/>
  <c r="D57" i="5"/>
  <c r="C57" i="5"/>
  <c r="B57" i="5"/>
  <c r="I56" i="5"/>
  <c r="E56" i="5" s="1"/>
  <c r="H56" i="5" s="1"/>
  <c r="C56" i="5"/>
  <c r="D56" i="5" s="1"/>
  <c r="B56" i="5"/>
  <c r="C55" i="5"/>
  <c r="D55" i="5" s="1"/>
  <c r="B55" i="5"/>
  <c r="J54" i="5"/>
  <c r="I54" i="5"/>
  <c r="E54" i="5" s="1"/>
  <c r="H54" i="5" s="1"/>
  <c r="D54" i="5"/>
  <c r="C54" i="5"/>
  <c r="B54" i="5"/>
  <c r="D53" i="5"/>
  <c r="C53" i="5"/>
  <c r="I53" i="5" s="1"/>
  <c r="B53" i="5"/>
  <c r="I52" i="5"/>
  <c r="C52" i="5"/>
  <c r="D52" i="5" s="1"/>
  <c r="B52" i="5"/>
  <c r="C51" i="5"/>
  <c r="B51" i="5"/>
  <c r="J50" i="5"/>
  <c r="E50" i="5"/>
  <c r="H50" i="5" s="1"/>
  <c r="D50" i="5"/>
  <c r="C50" i="5"/>
  <c r="I50" i="5" s="1"/>
  <c r="B50" i="5"/>
  <c r="C49" i="5"/>
  <c r="I49" i="5" s="1"/>
  <c r="B49" i="5"/>
  <c r="C48" i="5"/>
  <c r="D48" i="5" s="1"/>
  <c r="B48" i="5"/>
  <c r="I47" i="5"/>
  <c r="J47" i="5" s="1"/>
  <c r="E47" i="5"/>
  <c r="H47" i="5" s="1"/>
  <c r="C47" i="5"/>
  <c r="D47" i="5" s="1"/>
  <c r="B47" i="5"/>
  <c r="I46" i="5"/>
  <c r="J46" i="5" s="1"/>
  <c r="E46" i="5"/>
  <c r="H46" i="5" s="1"/>
  <c r="D46" i="5"/>
  <c r="C46" i="5"/>
  <c r="B46" i="5"/>
  <c r="C45" i="5"/>
  <c r="D45" i="5" s="1"/>
  <c r="B45" i="5"/>
  <c r="C44" i="5"/>
  <c r="D44" i="5" s="1"/>
  <c r="B44" i="5"/>
  <c r="C43" i="5"/>
  <c r="B43" i="5"/>
  <c r="C42" i="5"/>
  <c r="I42" i="5" s="1"/>
  <c r="J42" i="5" s="1"/>
  <c r="B42" i="5"/>
  <c r="I41" i="5"/>
  <c r="E41" i="5" s="1"/>
  <c r="H41" i="5" s="1"/>
  <c r="D41" i="5"/>
  <c r="C41" i="5"/>
  <c r="B41" i="5"/>
  <c r="C40" i="5"/>
  <c r="I40" i="5" s="1"/>
  <c r="B40" i="5"/>
  <c r="C39" i="5"/>
  <c r="D39" i="5" s="1"/>
  <c r="B39" i="5"/>
  <c r="I38" i="5"/>
  <c r="E38" i="5" s="1"/>
  <c r="H38" i="5" s="1"/>
  <c r="D38" i="5"/>
  <c r="C38" i="5"/>
  <c r="B38" i="5"/>
  <c r="D37" i="5"/>
  <c r="C37" i="5"/>
  <c r="I37" i="5" s="1"/>
  <c r="B37" i="5"/>
  <c r="C36" i="5"/>
  <c r="I36" i="5" s="1"/>
  <c r="B36" i="5"/>
  <c r="C35" i="5"/>
  <c r="D35" i="5" s="1"/>
  <c r="B35" i="5"/>
  <c r="E34" i="5"/>
  <c r="H34" i="5" s="1"/>
  <c r="D34" i="5"/>
  <c r="C34" i="5"/>
  <c r="I34" i="5" s="1"/>
  <c r="J34" i="5" s="1"/>
  <c r="B34" i="5"/>
  <c r="C33" i="5"/>
  <c r="I33" i="5" s="1"/>
  <c r="B33" i="5"/>
  <c r="I32" i="5"/>
  <c r="E32" i="5" s="1"/>
  <c r="H32" i="5" s="1"/>
  <c r="C32" i="5"/>
  <c r="D32" i="5" s="1"/>
  <c r="B32" i="5"/>
  <c r="I31" i="5"/>
  <c r="J31" i="5" s="1"/>
  <c r="C31" i="5"/>
  <c r="D31" i="5" s="1"/>
  <c r="B31" i="5"/>
  <c r="C30" i="5"/>
  <c r="I30" i="5" s="1"/>
  <c r="B30" i="5"/>
  <c r="C29" i="5"/>
  <c r="D29" i="5" s="1"/>
  <c r="B29" i="5"/>
  <c r="I28" i="5"/>
  <c r="E28" i="5" s="1"/>
  <c r="H28" i="5" s="1"/>
  <c r="C28" i="5"/>
  <c r="D28" i="5" s="1"/>
  <c r="B28" i="5"/>
  <c r="C27" i="5"/>
  <c r="D27" i="5" s="1"/>
  <c r="B27" i="5"/>
  <c r="H26" i="5"/>
  <c r="D26" i="5"/>
  <c r="J26" i="5"/>
  <c r="B26" i="5"/>
  <c r="G71" i="4"/>
  <c r="I71" i="4" s="1"/>
  <c r="G61" i="4"/>
  <c r="I61" i="4" s="1"/>
  <c r="G64" i="4" s="1"/>
  <c r="I19" i="4"/>
  <c r="D19" i="4"/>
  <c r="C9" i="4"/>
  <c r="H9" i="4" s="1"/>
  <c r="I62" i="4" l="1"/>
  <c r="G65" i="4" s="1"/>
  <c r="I27" i="8"/>
  <c r="G72" i="8"/>
  <c r="I72" i="8" s="1"/>
  <c r="G75" i="8" s="1"/>
  <c r="G100" i="8"/>
  <c r="I100" i="8" s="1"/>
  <c r="I76" i="8"/>
  <c r="G73" i="8"/>
  <c r="G43" i="12"/>
  <c r="C43" i="12" s="1"/>
  <c r="H62" i="12"/>
  <c r="E51" i="12"/>
  <c r="I73" i="8"/>
  <c r="J22" i="8"/>
  <c r="U39" i="12"/>
  <c r="G22" i="12"/>
  <c r="H27" i="12"/>
  <c r="F34" i="12"/>
  <c r="G81" i="8"/>
  <c r="K22" i="8"/>
  <c r="H34" i="8"/>
  <c r="G34" i="8" s="1"/>
  <c r="G88" i="8" s="1"/>
  <c r="I88" i="8" s="1"/>
  <c r="D20" i="4"/>
  <c r="F19" i="4"/>
  <c r="K19" i="4" s="1"/>
  <c r="L19" i="4" s="1"/>
  <c r="D47" i="4"/>
  <c r="G54" i="8"/>
  <c r="G31" i="8" s="1"/>
  <c r="D43" i="8"/>
  <c r="E43" i="8" s="1"/>
  <c r="C27" i="8"/>
  <c r="G98" i="8"/>
  <c r="I98" i="8" s="1"/>
  <c r="I103" i="8" s="1"/>
  <c r="G44" i="8" s="1"/>
  <c r="C141" i="8" s="1"/>
  <c r="I82" i="8"/>
  <c r="U39" i="4"/>
  <c r="H7" i="4"/>
  <c r="H10" i="4"/>
  <c r="J85" i="5"/>
  <c r="E85" i="5"/>
  <c r="H85" i="5" s="1"/>
  <c r="J30" i="5"/>
  <c r="E30" i="5"/>
  <c r="H30" i="5" s="1"/>
  <c r="J86" i="5"/>
  <c r="E86" i="5"/>
  <c r="H86" i="5" s="1"/>
  <c r="E116" i="5"/>
  <c r="H116" i="5" s="1"/>
  <c r="J116" i="5"/>
  <c r="J129" i="5"/>
  <c r="E129" i="5"/>
  <c r="H129" i="5" s="1"/>
  <c r="J199" i="5"/>
  <c r="E199" i="5"/>
  <c r="H199" i="5" s="1"/>
  <c r="J37" i="5"/>
  <c r="E37" i="5"/>
  <c r="H37" i="5" s="1"/>
  <c r="E93" i="5"/>
  <c r="H93" i="5" s="1"/>
  <c r="J93" i="5"/>
  <c r="J246" i="5"/>
  <c r="E246" i="5"/>
  <c r="E196" i="5"/>
  <c r="H196" i="5" s="1"/>
  <c r="J196" i="5"/>
  <c r="E172" i="5"/>
  <c r="H172" i="5" s="1"/>
  <c r="J172" i="5"/>
  <c r="E180" i="5"/>
  <c r="H180" i="5" s="1"/>
  <c r="J180" i="5"/>
  <c r="E204" i="5"/>
  <c r="H204" i="5" s="1"/>
  <c r="J204" i="5"/>
  <c r="J223" i="5"/>
  <c r="E223" i="5"/>
  <c r="H223" i="5" s="1"/>
  <c r="E140" i="5"/>
  <c r="H140" i="5" s="1"/>
  <c r="J140" i="5"/>
  <c r="E164" i="5"/>
  <c r="H164" i="5" s="1"/>
  <c r="J164" i="5"/>
  <c r="J215" i="5"/>
  <c r="E215" i="5"/>
  <c r="H215" i="5" s="1"/>
  <c r="J159" i="5"/>
  <c r="E159" i="5"/>
  <c r="H159" i="5" s="1"/>
  <c r="J191" i="5"/>
  <c r="E191" i="5"/>
  <c r="H191" i="5" s="1"/>
  <c r="J102" i="5"/>
  <c r="E102" i="5"/>
  <c r="H102" i="5" s="1"/>
  <c r="E132" i="5"/>
  <c r="H132" i="5" s="1"/>
  <c r="J132" i="5"/>
  <c r="E212" i="5"/>
  <c r="H212" i="5" s="1"/>
  <c r="J212" i="5"/>
  <c r="I71" i="5"/>
  <c r="D77" i="5"/>
  <c r="I84" i="5"/>
  <c r="D86" i="5"/>
  <c r="D93" i="5"/>
  <c r="J94" i="5"/>
  <c r="J97" i="5"/>
  <c r="I100" i="5"/>
  <c r="D102" i="5"/>
  <c r="D112" i="5"/>
  <c r="I114" i="5"/>
  <c r="D129" i="5"/>
  <c r="J130" i="5"/>
  <c r="J162" i="5"/>
  <c r="D172" i="5"/>
  <c r="J188" i="5"/>
  <c r="D191" i="5"/>
  <c r="D193" i="5"/>
  <c r="D200" i="5"/>
  <c r="D207" i="5"/>
  <c r="D216" i="5"/>
  <c r="J256" i="5"/>
  <c r="E586" i="5"/>
  <c r="J38" i="5"/>
  <c r="I44" i="5"/>
  <c r="I27" i="5"/>
  <c r="J27" i="5" s="1"/>
  <c r="D30" i="5"/>
  <c r="I55" i="5"/>
  <c r="J55" i="5" s="1"/>
  <c r="I68" i="5"/>
  <c r="D74" i="5"/>
  <c r="E112" i="5"/>
  <c r="H112" i="5" s="1"/>
  <c r="D120" i="5"/>
  <c r="I122" i="5"/>
  <c r="E122" i="5" s="1"/>
  <c r="H122" i="5" s="1"/>
  <c r="J124" i="5"/>
  <c r="D140" i="5"/>
  <c r="J156" i="5"/>
  <c r="D159" i="5"/>
  <c r="D175" i="5"/>
  <c r="D177" i="5"/>
  <c r="D182" i="5"/>
  <c r="D184" i="5"/>
  <c r="I186" i="5"/>
  <c r="E200" i="5"/>
  <c r="H200" i="5" s="1"/>
  <c r="I202" i="5"/>
  <c r="D209" i="5"/>
  <c r="E70" i="5"/>
  <c r="H70" i="5" s="1"/>
  <c r="D105" i="5"/>
  <c r="E120" i="5"/>
  <c r="H120" i="5" s="1"/>
  <c r="D136" i="5"/>
  <c r="D143" i="5"/>
  <c r="D145" i="5"/>
  <c r="D150" i="5"/>
  <c r="J184" i="5"/>
  <c r="J386" i="5"/>
  <c r="D42" i="5"/>
  <c r="I45" i="5"/>
  <c r="E45" i="5" s="1"/>
  <c r="H45" i="5" s="1"/>
  <c r="D58" i="5"/>
  <c r="I61" i="5"/>
  <c r="D66" i="5"/>
  <c r="E82" i="5"/>
  <c r="H82" i="5" s="1"/>
  <c r="D85" i="5"/>
  <c r="I95" i="5"/>
  <c r="D98" i="5"/>
  <c r="D128" i="5"/>
  <c r="I138" i="5"/>
  <c r="J152" i="5"/>
  <c r="E168" i="5"/>
  <c r="H168" i="5" s="1"/>
  <c r="J170" i="5"/>
  <c r="D199" i="5"/>
  <c r="D215" i="5"/>
  <c r="D217" i="5"/>
  <c r="E506" i="5"/>
  <c r="D73" i="5"/>
  <c r="D92" i="5"/>
  <c r="I111" i="5"/>
  <c r="D116" i="5"/>
  <c r="D121" i="5"/>
  <c r="J128" i="5"/>
  <c r="D132" i="5"/>
  <c r="J148" i="5"/>
  <c r="D164" i="5"/>
  <c r="D176" i="5"/>
  <c r="I178" i="5"/>
  <c r="E178" i="5" s="1"/>
  <c r="H178" i="5" s="1"/>
  <c r="E183" i="5"/>
  <c r="H183" i="5" s="1"/>
  <c r="D185" i="5"/>
  <c r="D190" i="5"/>
  <c r="D192" i="5"/>
  <c r="J194" i="5"/>
  <c r="I210" i="5"/>
  <c r="E210" i="5" s="1"/>
  <c r="H210" i="5" s="1"/>
  <c r="J73" i="5"/>
  <c r="I106" i="5"/>
  <c r="E151" i="5"/>
  <c r="H151" i="5" s="1"/>
  <c r="J176" i="5"/>
  <c r="I225" i="5"/>
  <c r="J266" i="5"/>
  <c r="K46" i="4"/>
  <c r="L46" i="4" s="1"/>
  <c r="I38" i="4"/>
  <c r="I43" i="4" s="1"/>
  <c r="G100" i="4" s="1"/>
  <c r="D39" i="4"/>
  <c r="E65" i="5"/>
  <c r="H65" i="5" s="1"/>
  <c r="J65" i="5"/>
  <c r="J60" i="5"/>
  <c r="E60" i="5"/>
  <c r="H60" i="5" s="1"/>
  <c r="E49" i="5"/>
  <c r="H49" i="5" s="1"/>
  <c r="J49" i="5"/>
  <c r="J33" i="5"/>
  <c r="E33" i="5"/>
  <c r="H33" i="5" s="1"/>
  <c r="E36" i="5"/>
  <c r="H36" i="5" s="1"/>
  <c r="J36" i="5"/>
  <c r="E40" i="5"/>
  <c r="H40" i="5" s="1"/>
  <c r="J40" i="5"/>
  <c r="J92" i="5"/>
  <c r="E92" i="5"/>
  <c r="H92" i="5" s="1"/>
  <c r="J76" i="5"/>
  <c r="E76" i="5"/>
  <c r="H76" i="5" s="1"/>
  <c r="J53" i="5"/>
  <c r="E53" i="5"/>
  <c r="H53" i="5" s="1"/>
  <c r="J100" i="5"/>
  <c r="E100" i="5"/>
  <c r="H100" i="5" s="1"/>
  <c r="E114" i="5"/>
  <c r="H114" i="5" s="1"/>
  <c r="J114" i="5"/>
  <c r="J306" i="5"/>
  <c r="E306" i="5"/>
  <c r="E27" i="5"/>
  <c r="H27" i="5" s="1"/>
  <c r="J32" i="5"/>
  <c r="E42" i="5"/>
  <c r="H42" i="5" s="1"/>
  <c r="I48" i="5"/>
  <c r="D65" i="5"/>
  <c r="I67" i="5"/>
  <c r="D67" i="5"/>
  <c r="E71" i="5"/>
  <c r="H71" i="5" s="1"/>
  <c r="J71" i="5"/>
  <c r="J88" i="5"/>
  <c r="I99" i="5"/>
  <c r="D99" i="5"/>
  <c r="D142" i="5"/>
  <c r="I221" i="5"/>
  <c r="D221" i="5"/>
  <c r="E326" i="5"/>
  <c r="J326" i="5"/>
  <c r="J346" i="5"/>
  <c r="E346" i="5"/>
  <c r="J44" i="5"/>
  <c r="E44" i="5"/>
  <c r="H44" i="5" s="1"/>
  <c r="I59" i="5"/>
  <c r="D59" i="5"/>
  <c r="J68" i="5"/>
  <c r="E68" i="5"/>
  <c r="H68" i="5" s="1"/>
  <c r="I104" i="5"/>
  <c r="D104" i="5"/>
  <c r="J121" i="5"/>
  <c r="E121" i="5"/>
  <c r="H121" i="5" s="1"/>
  <c r="J142" i="5"/>
  <c r="E142" i="5"/>
  <c r="H142" i="5" s="1"/>
  <c r="E186" i="5"/>
  <c r="H186" i="5" s="1"/>
  <c r="J186" i="5"/>
  <c r="J28" i="5"/>
  <c r="E31" i="5"/>
  <c r="H31" i="5" s="1"/>
  <c r="J45" i="5"/>
  <c r="J57" i="5"/>
  <c r="I35" i="5"/>
  <c r="I39" i="5"/>
  <c r="E77" i="5"/>
  <c r="H77" i="5" s="1"/>
  <c r="I80" i="5"/>
  <c r="D97" i="5"/>
  <c r="D115" i="5"/>
  <c r="I115" i="5"/>
  <c r="J154" i="5"/>
  <c r="I174" i="5"/>
  <c r="D174" i="5"/>
  <c r="I206" i="5"/>
  <c r="D206" i="5"/>
  <c r="I219" i="5"/>
  <c r="D219" i="5"/>
  <c r="E169" i="5"/>
  <c r="H169" i="5" s="1"/>
  <c r="J169" i="5"/>
  <c r="J84" i="5"/>
  <c r="E84" i="5"/>
  <c r="H84" i="5" s="1"/>
  <c r="J113" i="5"/>
  <c r="E113" i="5"/>
  <c r="H113" i="5" s="1"/>
  <c r="J122" i="5"/>
  <c r="I149" i="5"/>
  <c r="D149" i="5"/>
  <c r="I155" i="5"/>
  <c r="D155" i="5"/>
  <c r="I179" i="5"/>
  <c r="D179" i="5"/>
  <c r="J41" i="5"/>
  <c r="I64" i="5"/>
  <c r="E74" i="5"/>
  <c r="H74" i="5" s="1"/>
  <c r="I83" i="5"/>
  <c r="D83" i="5"/>
  <c r="E87" i="5"/>
  <c r="H87" i="5" s="1"/>
  <c r="J87" i="5"/>
  <c r="J89" i="5"/>
  <c r="D107" i="5"/>
  <c r="I107" i="5"/>
  <c r="D127" i="5"/>
  <c r="J214" i="5"/>
  <c r="E214" i="5"/>
  <c r="H214" i="5" s="1"/>
  <c r="E666" i="5"/>
  <c r="J666" i="5"/>
  <c r="E95" i="5"/>
  <c r="H95" i="5" s="1"/>
  <c r="J95" i="5"/>
  <c r="I118" i="5"/>
  <c r="D118" i="5"/>
  <c r="J167" i="5"/>
  <c r="E167" i="5"/>
  <c r="H167" i="5" s="1"/>
  <c r="I181" i="5"/>
  <c r="D181" i="5"/>
  <c r="I213" i="5"/>
  <c r="D213" i="5"/>
  <c r="J406" i="5"/>
  <c r="E406" i="5"/>
  <c r="D33" i="5"/>
  <c r="I43" i="5"/>
  <c r="D43" i="5"/>
  <c r="I72" i="5"/>
  <c r="D76" i="5"/>
  <c r="D89" i="5"/>
  <c r="J127" i="5"/>
  <c r="E127" i="5"/>
  <c r="H127" i="5" s="1"/>
  <c r="I147" i="5"/>
  <c r="D147" i="5"/>
  <c r="I157" i="5"/>
  <c r="D157" i="5"/>
  <c r="E193" i="5"/>
  <c r="H193" i="5" s="1"/>
  <c r="J193" i="5"/>
  <c r="I211" i="5"/>
  <c r="D211" i="5"/>
  <c r="J466" i="5"/>
  <c r="E466" i="5"/>
  <c r="D36" i="5"/>
  <c r="D40" i="5"/>
  <c r="D49" i="5"/>
  <c r="J52" i="5"/>
  <c r="E52" i="5"/>
  <c r="H52" i="5" s="1"/>
  <c r="E58" i="5"/>
  <c r="H58" i="5" s="1"/>
  <c r="D60" i="5"/>
  <c r="I29" i="5"/>
  <c r="I51" i="5"/>
  <c r="D51" i="5"/>
  <c r="D81" i="5"/>
  <c r="I96" i="5"/>
  <c r="I103" i="5"/>
  <c r="D103" i="5"/>
  <c r="E105" i="5"/>
  <c r="H105" i="5" s="1"/>
  <c r="I125" i="5"/>
  <c r="D125" i="5"/>
  <c r="E135" i="5"/>
  <c r="H135" i="5" s="1"/>
  <c r="J166" i="5"/>
  <c r="E166" i="5"/>
  <c r="H166" i="5" s="1"/>
  <c r="J175" i="5"/>
  <c r="E175" i="5"/>
  <c r="H175" i="5" s="1"/>
  <c r="J192" i="5"/>
  <c r="E192" i="5"/>
  <c r="H192" i="5" s="1"/>
  <c r="D214" i="5"/>
  <c r="I91" i="5"/>
  <c r="D91" i="5"/>
  <c r="J111" i="5"/>
  <c r="E111" i="5"/>
  <c r="H111" i="5" s="1"/>
  <c r="J56" i="5"/>
  <c r="E63" i="5"/>
  <c r="H63" i="5" s="1"/>
  <c r="I75" i="5"/>
  <c r="D75" i="5"/>
  <c r="E79" i="5"/>
  <c r="H79" i="5" s="1"/>
  <c r="J79" i="5"/>
  <c r="E98" i="5"/>
  <c r="H98" i="5" s="1"/>
  <c r="I110" i="5"/>
  <c r="D110" i="5"/>
  <c r="J119" i="5"/>
  <c r="E119" i="5"/>
  <c r="H119" i="5" s="1"/>
  <c r="E123" i="5"/>
  <c r="H123" i="5" s="1"/>
  <c r="J123" i="5"/>
  <c r="D131" i="5"/>
  <c r="I131" i="5"/>
  <c r="J150" i="5"/>
  <c r="E150" i="5"/>
  <c r="H150" i="5" s="1"/>
  <c r="E161" i="5"/>
  <c r="H161" i="5" s="1"/>
  <c r="J161" i="5"/>
  <c r="J216" i="5"/>
  <c r="I171" i="5"/>
  <c r="D171" i="5"/>
  <c r="I173" i="5"/>
  <c r="D173" i="5"/>
  <c r="E185" i="5"/>
  <c r="H185" i="5" s="1"/>
  <c r="J185" i="5"/>
  <c r="J426" i="5"/>
  <c r="E426" i="5"/>
  <c r="I133" i="5"/>
  <c r="D133" i="5"/>
  <c r="E145" i="5"/>
  <c r="H145" i="5" s="1"/>
  <c r="J145" i="5"/>
  <c r="D166" i="5"/>
  <c r="J178" i="5"/>
  <c r="J190" i="5"/>
  <c r="E190" i="5"/>
  <c r="H190" i="5" s="1"/>
  <c r="I195" i="5"/>
  <c r="D195" i="5"/>
  <c r="I197" i="5"/>
  <c r="D197" i="5"/>
  <c r="E209" i="5"/>
  <c r="H209" i="5" s="1"/>
  <c r="J209" i="5"/>
  <c r="J218" i="5"/>
  <c r="I109" i="5"/>
  <c r="D109" i="5"/>
  <c r="J134" i="5"/>
  <c r="E134" i="5"/>
  <c r="H134" i="5" s="1"/>
  <c r="I139" i="5"/>
  <c r="D139" i="5"/>
  <c r="I141" i="5"/>
  <c r="D141" i="5"/>
  <c r="E153" i="5"/>
  <c r="H153" i="5" s="1"/>
  <c r="J153" i="5"/>
  <c r="J198" i="5"/>
  <c r="E198" i="5"/>
  <c r="H198" i="5" s="1"/>
  <c r="I203" i="5"/>
  <c r="D203" i="5"/>
  <c r="I205" i="5"/>
  <c r="D205" i="5"/>
  <c r="E217" i="5"/>
  <c r="H217" i="5" s="1"/>
  <c r="J217" i="5"/>
  <c r="I117" i="5"/>
  <c r="D117" i="5"/>
  <c r="D134" i="5"/>
  <c r="E143" i="5"/>
  <c r="H143" i="5" s="1"/>
  <c r="J146" i="5"/>
  <c r="J158" i="5"/>
  <c r="E158" i="5"/>
  <c r="H158" i="5" s="1"/>
  <c r="I163" i="5"/>
  <c r="D163" i="5"/>
  <c r="I165" i="5"/>
  <c r="D165" i="5"/>
  <c r="E177" i="5"/>
  <c r="H177" i="5" s="1"/>
  <c r="J177" i="5"/>
  <c r="D198" i="5"/>
  <c r="E207" i="5"/>
  <c r="H207" i="5" s="1"/>
  <c r="J210" i="5"/>
  <c r="E236" i="5"/>
  <c r="J706" i="5"/>
  <c r="E706" i="5"/>
  <c r="J126" i="5"/>
  <c r="E126" i="5"/>
  <c r="H126" i="5" s="1"/>
  <c r="E137" i="5"/>
  <c r="H137" i="5" s="1"/>
  <c r="J137" i="5"/>
  <c r="J182" i="5"/>
  <c r="E182" i="5"/>
  <c r="H182" i="5" s="1"/>
  <c r="I187" i="5"/>
  <c r="D187" i="5"/>
  <c r="I189" i="5"/>
  <c r="D189" i="5"/>
  <c r="E201" i="5"/>
  <c r="H201" i="5" s="1"/>
  <c r="J201" i="5"/>
  <c r="J222" i="5"/>
  <c r="E222" i="5"/>
  <c r="H222" i="5" s="1"/>
  <c r="E225" i="5"/>
  <c r="H225" i="5" s="1"/>
  <c r="J225" i="5"/>
  <c r="I224" i="5"/>
  <c r="E626" i="5"/>
  <c r="E746" i="5"/>
  <c r="I64" i="4"/>
  <c r="J19" i="4"/>
  <c r="I67" i="4" l="1"/>
  <c r="G63" i="4" s="1"/>
  <c r="G91" i="8"/>
  <c r="I91" i="8" s="1"/>
  <c r="K27" i="8"/>
  <c r="L27" i="8" s="1"/>
  <c r="J27" i="8"/>
  <c r="I81" i="8"/>
  <c r="G84" i="8" s="1"/>
  <c r="G106" i="12"/>
  <c r="I106" i="12" s="1"/>
  <c r="G109" i="12" s="1"/>
  <c r="G27" i="12"/>
  <c r="G87" i="12" s="1"/>
  <c r="I87" i="12" s="1"/>
  <c r="G90" i="12" s="1"/>
  <c r="I22" i="12"/>
  <c r="G78" i="12"/>
  <c r="I78" i="12" s="1"/>
  <c r="G81" i="12" s="1"/>
  <c r="D22" i="12"/>
  <c r="G62" i="12"/>
  <c r="H31" i="12"/>
  <c r="H34" i="12" s="1"/>
  <c r="G34" i="12" s="1"/>
  <c r="G96" i="12" s="1"/>
  <c r="I96" i="12" s="1"/>
  <c r="G99" i="12" s="1"/>
  <c r="L22" i="8"/>
  <c r="K57" i="8"/>
  <c r="L57" i="8" s="1"/>
  <c r="W53" i="8" s="1"/>
  <c r="E141" i="8"/>
  <c r="F141" i="8" s="1"/>
  <c r="F22" i="4"/>
  <c r="F27" i="4" s="1"/>
  <c r="H19" i="4"/>
  <c r="H46" i="4"/>
  <c r="H51" i="4" s="1"/>
  <c r="F51" i="4"/>
  <c r="F54" i="4" s="1"/>
  <c r="F31" i="4" s="1"/>
  <c r="F57" i="4"/>
  <c r="E57" i="4" s="1"/>
  <c r="D155" i="8"/>
  <c r="U4" i="8" s="1"/>
  <c r="Z7" i="8" s="1"/>
  <c r="G80" i="8"/>
  <c r="I80" i="8" s="1"/>
  <c r="I85" i="8" s="1"/>
  <c r="G28" i="8" s="1"/>
  <c r="C140" i="8" s="1"/>
  <c r="G115" i="8"/>
  <c r="I115" i="8" s="1"/>
  <c r="D44" i="8"/>
  <c r="D27" i="8"/>
  <c r="D28" i="8" s="1"/>
  <c r="E202" i="5"/>
  <c r="H202" i="5" s="1"/>
  <c r="J202" i="5"/>
  <c r="E106" i="5"/>
  <c r="H106" i="5" s="1"/>
  <c r="J106" i="5"/>
  <c r="J61" i="5"/>
  <c r="E61" i="5"/>
  <c r="H61" i="5" s="1"/>
  <c r="E138" i="5"/>
  <c r="H138" i="5" s="1"/>
  <c r="J138" i="5"/>
  <c r="E55" i="5"/>
  <c r="H55" i="5" s="1"/>
  <c r="J43" i="4"/>
  <c r="K43" i="4"/>
  <c r="L43" i="4" s="1"/>
  <c r="J141" i="5"/>
  <c r="E141" i="5"/>
  <c r="H141" i="5" s="1"/>
  <c r="J133" i="5"/>
  <c r="E133" i="5"/>
  <c r="H133" i="5" s="1"/>
  <c r="J91" i="5"/>
  <c r="E91" i="5"/>
  <c r="H91" i="5" s="1"/>
  <c r="J213" i="5"/>
  <c r="E213" i="5"/>
  <c r="H213" i="5" s="1"/>
  <c r="J206" i="5"/>
  <c r="E206" i="5"/>
  <c r="H206" i="5" s="1"/>
  <c r="J109" i="5"/>
  <c r="E109" i="5"/>
  <c r="H109" i="5" s="1"/>
  <c r="J51" i="5"/>
  <c r="E51" i="5"/>
  <c r="H51" i="5" s="1"/>
  <c r="E72" i="5"/>
  <c r="H72" i="5" s="1"/>
  <c r="J72" i="5"/>
  <c r="E179" i="5"/>
  <c r="H179" i="5" s="1"/>
  <c r="J179" i="5"/>
  <c r="J39" i="5"/>
  <c r="E39" i="5"/>
  <c r="H39" i="5" s="1"/>
  <c r="J205" i="5"/>
  <c r="E205" i="5"/>
  <c r="H205" i="5" s="1"/>
  <c r="E155" i="5"/>
  <c r="H155" i="5" s="1"/>
  <c r="J155" i="5"/>
  <c r="E163" i="5"/>
  <c r="H163" i="5" s="1"/>
  <c r="J163" i="5"/>
  <c r="E195" i="5"/>
  <c r="H195" i="5" s="1"/>
  <c r="J195" i="5"/>
  <c r="E171" i="5"/>
  <c r="H171" i="5" s="1"/>
  <c r="J171" i="5"/>
  <c r="J75" i="5"/>
  <c r="E75" i="5"/>
  <c r="H75" i="5" s="1"/>
  <c r="J125" i="5"/>
  <c r="E125" i="5"/>
  <c r="H125" i="5" s="1"/>
  <c r="J29" i="5"/>
  <c r="E29" i="5"/>
  <c r="H29" i="5" s="1"/>
  <c r="J157" i="5"/>
  <c r="E157" i="5"/>
  <c r="H157" i="5" s="1"/>
  <c r="J181" i="5"/>
  <c r="E181" i="5"/>
  <c r="H181" i="5" s="1"/>
  <c r="J174" i="5"/>
  <c r="E174" i="5"/>
  <c r="H174" i="5" s="1"/>
  <c r="J35" i="5"/>
  <c r="E35" i="5"/>
  <c r="H35" i="5" s="1"/>
  <c r="J59" i="5"/>
  <c r="E59" i="5"/>
  <c r="H59" i="5" s="1"/>
  <c r="J221" i="5"/>
  <c r="E221" i="5"/>
  <c r="H221" i="5" s="1"/>
  <c r="J67" i="5"/>
  <c r="E67" i="5"/>
  <c r="H67" i="5" s="1"/>
  <c r="J189" i="5"/>
  <c r="E189" i="5"/>
  <c r="H189" i="5" s="1"/>
  <c r="E115" i="5"/>
  <c r="H115" i="5" s="1"/>
  <c r="J115" i="5"/>
  <c r="E203" i="5"/>
  <c r="H203" i="5" s="1"/>
  <c r="J203" i="5"/>
  <c r="E139" i="5"/>
  <c r="H139" i="5" s="1"/>
  <c r="J139" i="5"/>
  <c r="J110" i="5"/>
  <c r="E110" i="5"/>
  <c r="H110" i="5" s="1"/>
  <c r="J103" i="5"/>
  <c r="E103" i="5"/>
  <c r="H103" i="5" s="1"/>
  <c r="J149" i="5"/>
  <c r="E149" i="5"/>
  <c r="H149" i="5" s="1"/>
  <c r="J99" i="5"/>
  <c r="E99" i="5"/>
  <c r="H99" i="5" s="1"/>
  <c r="J43" i="5"/>
  <c r="E43" i="5"/>
  <c r="H43" i="5" s="1"/>
  <c r="E48" i="5"/>
  <c r="H48" i="5" s="1"/>
  <c r="J48" i="5"/>
  <c r="E187" i="5"/>
  <c r="H187" i="5" s="1"/>
  <c r="J187" i="5"/>
  <c r="J165" i="5"/>
  <c r="E165" i="5"/>
  <c r="H165" i="5" s="1"/>
  <c r="J197" i="5"/>
  <c r="E197" i="5"/>
  <c r="H197" i="5" s="1"/>
  <c r="J173" i="5"/>
  <c r="E173" i="5"/>
  <c r="H173" i="5" s="1"/>
  <c r="E131" i="5"/>
  <c r="H131" i="5" s="1"/>
  <c r="J131" i="5"/>
  <c r="E96" i="5"/>
  <c r="H96" i="5" s="1"/>
  <c r="J96" i="5"/>
  <c r="E211" i="5"/>
  <c r="H211" i="5" s="1"/>
  <c r="J211" i="5"/>
  <c r="J118" i="5"/>
  <c r="E118" i="5"/>
  <c r="H118" i="5" s="1"/>
  <c r="E107" i="5"/>
  <c r="H107" i="5" s="1"/>
  <c r="J107" i="5"/>
  <c r="E64" i="5"/>
  <c r="H64" i="5" s="1"/>
  <c r="J64" i="5"/>
  <c r="E219" i="5"/>
  <c r="H219" i="5" s="1"/>
  <c r="J219" i="5"/>
  <c r="J104" i="5"/>
  <c r="E104" i="5"/>
  <c r="H104" i="5" s="1"/>
  <c r="E224" i="5"/>
  <c r="H224" i="5" s="1"/>
  <c r="J224" i="5"/>
  <c r="E147" i="5"/>
  <c r="H147" i="5" s="1"/>
  <c r="J147" i="5"/>
  <c r="J83" i="5"/>
  <c r="E83" i="5"/>
  <c r="H83" i="5" s="1"/>
  <c r="J117" i="5"/>
  <c r="E117" i="5"/>
  <c r="H117" i="5" s="1"/>
  <c r="E80" i="5"/>
  <c r="H80" i="5" s="1"/>
  <c r="J80" i="5"/>
  <c r="I63" i="4" l="1"/>
  <c r="G66" i="4" s="1"/>
  <c r="G118" i="8"/>
  <c r="I118" i="8" s="1"/>
  <c r="Z8" i="8"/>
  <c r="Z9" i="8"/>
  <c r="Z6" i="8"/>
  <c r="Z10" i="8"/>
  <c r="Z11" i="8"/>
  <c r="W55" i="8"/>
  <c r="W54" i="8" s="1"/>
  <c r="F34" i="4"/>
  <c r="I99" i="12"/>
  <c r="D23" i="12"/>
  <c r="E22" i="12"/>
  <c r="G31" i="12"/>
  <c r="G133" i="12"/>
  <c r="I133" i="12" s="1"/>
  <c r="G136" i="12" s="1"/>
  <c r="I81" i="12"/>
  <c r="I84" i="12"/>
  <c r="G80" i="12"/>
  <c r="I80" i="12" s="1"/>
  <c r="G83" i="12" s="1"/>
  <c r="J22" i="12"/>
  <c r="I27" i="12"/>
  <c r="K22" i="12"/>
  <c r="K65" i="12" s="1"/>
  <c r="I90" i="12"/>
  <c r="G107" i="12"/>
  <c r="I107" i="12" s="1"/>
  <c r="I112" i="12" s="1"/>
  <c r="G44" i="12" s="1"/>
  <c r="C158" i="12" s="1"/>
  <c r="E158" i="12" s="1"/>
  <c r="F158" i="12" s="1"/>
  <c r="D43" i="12"/>
  <c r="I109" i="12"/>
  <c r="E140" i="8"/>
  <c r="F140" i="8" s="1"/>
  <c r="H22" i="4"/>
  <c r="G22" i="4" s="1"/>
  <c r="G51" i="4"/>
  <c r="G107" i="4" s="1"/>
  <c r="I107" i="4" s="1"/>
  <c r="E27" i="8"/>
  <c r="I100" i="4"/>
  <c r="G103" i="4" s="1"/>
  <c r="G110" i="4" l="1"/>
  <c r="I110" i="4" s="1"/>
  <c r="U15" i="8"/>
  <c r="U36" i="8" s="1"/>
  <c r="I136" i="12"/>
  <c r="L65" i="12"/>
  <c r="W60" i="12" s="1"/>
  <c r="W62" i="12" s="1"/>
  <c r="W61" i="12" s="1"/>
  <c r="L22" i="12"/>
  <c r="J27" i="12"/>
  <c r="C27" i="12"/>
  <c r="G89" i="12"/>
  <c r="K27" i="12"/>
  <c r="D44" i="12"/>
  <c r="E43" i="12"/>
  <c r="D22" i="4"/>
  <c r="I22" i="4"/>
  <c r="G72" i="4" s="1"/>
  <c r="I72" i="4" s="1"/>
  <c r="G75" i="4" s="1"/>
  <c r="G70" i="4"/>
  <c r="I70" i="4" s="1"/>
  <c r="G73" i="4" s="1"/>
  <c r="U16" i="8" l="1"/>
  <c r="U37" i="8" s="1"/>
  <c r="I89" i="12"/>
  <c r="G92" i="12" s="1"/>
  <c r="L27" i="12"/>
  <c r="G88" i="12"/>
  <c r="I88" i="12" s="1"/>
  <c r="I93" i="12" s="1"/>
  <c r="G28" i="12" s="1"/>
  <c r="C157" i="12" s="1"/>
  <c r="D172" i="12"/>
  <c r="U4" i="12" s="1"/>
  <c r="D27" i="12"/>
  <c r="J38" i="4"/>
  <c r="K38" i="4"/>
  <c r="I27" i="4"/>
  <c r="G81" i="4" s="1"/>
  <c r="J22" i="4"/>
  <c r="K22" i="4"/>
  <c r="L22" i="4" s="1"/>
  <c r="D23" i="4"/>
  <c r="E22" i="4"/>
  <c r="I76" i="4"/>
  <c r="I73" i="4"/>
  <c r="U39" i="8" l="1"/>
  <c r="E157" i="12"/>
  <c r="F157" i="12" s="1"/>
  <c r="E27" i="12"/>
  <c r="D28" i="12"/>
  <c r="Z10" i="12"/>
  <c r="Z7" i="12"/>
  <c r="Z6" i="12"/>
  <c r="Z9" i="12"/>
  <c r="Z8" i="12"/>
  <c r="Z11" i="12"/>
  <c r="L38" i="4"/>
  <c r="K57" i="4"/>
  <c r="L57" i="4" s="1"/>
  <c r="K27" i="4"/>
  <c r="J27" i="4"/>
  <c r="U15" i="12" l="1"/>
  <c r="L27" i="4"/>
  <c r="I81" i="4"/>
  <c r="G84" i="4" s="1"/>
  <c r="U16" i="12" l="1"/>
  <c r="U36" i="12" s="1"/>
  <c r="U35" i="12"/>
  <c r="O11" i="4"/>
  <c r="J3" i="4"/>
  <c r="H24" i="4" l="1"/>
  <c r="H27" i="4" s="1"/>
  <c r="G27" i="4" s="1"/>
  <c r="O13" i="4"/>
  <c r="H40" i="4"/>
  <c r="H43" i="4" s="1"/>
  <c r="H57" i="4" l="1"/>
  <c r="W52" i="4" s="1"/>
  <c r="W54" i="4" s="1"/>
  <c r="W53" i="4" s="1"/>
  <c r="G79" i="4"/>
  <c r="I79" i="4" s="1"/>
  <c r="G82" i="4" s="1"/>
  <c r="C27" i="4"/>
  <c r="O12" i="4"/>
  <c r="P12" i="4" s="1"/>
  <c r="H54" i="4"/>
  <c r="G43" i="4"/>
  <c r="D155" i="4" l="1"/>
  <c r="U4" i="4" s="1"/>
  <c r="I82" i="4"/>
  <c r="C43" i="4"/>
  <c r="G98" i="4"/>
  <c r="I98" i="4" s="1"/>
  <c r="G101" i="4" s="1"/>
  <c r="D27" i="4"/>
  <c r="G80" i="4"/>
  <c r="I80" i="4" s="1"/>
  <c r="I85" i="4" s="1"/>
  <c r="G28" i="4" s="1"/>
  <c r="C140" i="4" s="1"/>
  <c r="H31" i="4"/>
  <c r="H34" i="4" s="1"/>
  <c r="G34" i="4" s="1"/>
  <c r="G88" i="4" s="1"/>
  <c r="I88" i="4" s="1"/>
  <c r="G91" i="4" s="1"/>
  <c r="G54" i="4"/>
  <c r="E140" i="4" l="1"/>
  <c r="F140" i="4" s="1"/>
  <c r="Z6" i="4"/>
  <c r="Z7" i="4"/>
  <c r="Z8" i="4"/>
  <c r="Z9" i="4"/>
  <c r="Z10" i="4"/>
  <c r="Z11" i="4"/>
  <c r="D43" i="4"/>
  <c r="G99" i="4"/>
  <c r="I99" i="4" s="1"/>
  <c r="I104" i="4" s="1"/>
  <c r="G44" i="4" s="1"/>
  <c r="C141" i="4" s="1"/>
  <c r="I101" i="4"/>
  <c r="E27" i="4"/>
  <c r="D28" i="4"/>
  <c r="G31" i="4"/>
  <c r="G116" i="4"/>
  <c r="I116" i="4" s="1"/>
  <c r="G119" i="4" s="1"/>
  <c r="I91" i="4"/>
  <c r="E141" i="4" l="1"/>
  <c r="F141" i="4" s="1"/>
  <c r="U15" i="4"/>
  <c r="U16" i="4" s="1"/>
  <c r="E43" i="4"/>
  <c r="D44" i="4"/>
  <c r="I119" i="4"/>
  <c r="U41" i="8" l="1"/>
  <c r="L48" i="8" s="1"/>
  <c r="K48" i="8" s="1"/>
  <c r="K51" i="8" s="1"/>
  <c r="L51" i="8" s="1"/>
  <c r="L54" i="8" s="1"/>
  <c r="U38" i="12"/>
  <c r="U40" i="12" s="1"/>
  <c r="U35" i="4"/>
  <c r="U36" i="4"/>
  <c r="U38" i="4"/>
  <c r="U40" i="4" s="1"/>
  <c r="I51" i="8" l="1"/>
  <c r="C51" i="8" s="1"/>
  <c r="L48" i="4"/>
  <c r="K48" i="4" s="1"/>
  <c r="K51" i="4" s="1"/>
  <c r="L51" i="4" s="1"/>
  <c r="L54" i="4" s="1"/>
  <c r="L31" i="4" s="1"/>
  <c r="L56" i="12"/>
  <c r="K56" i="12" s="1"/>
  <c r="K59" i="12" s="1"/>
  <c r="K54" i="8"/>
  <c r="L31" i="8"/>
  <c r="J51" i="8" l="1"/>
  <c r="I51" i="4"/>
  <c r="C51" i="4" s="1"/>
  <c r="I59" i="12"/>
  <c r="L59" i="12"/>
  <c r="L62" i="12" s="1"/>
  <c r="K31" i="8"/>
  <c r="K34" i="8" s="1"/>
  <c r="I34" i="8" s="1"/>
  <c r="I54" i="8"/>
  <c r="G107" i="8"/>
  <c r="D51" i="8"/>
  <c r="K54" i="4"/>
  <c r="K31" i="4" s="1"/>
  <c r="I108" i="4" l="1"/>
  <c r="I113" i="4" s="1"/>
  <c r="G52" i="4" s="1"/>
  <c r="G108" i="4"/>
  <c r="I107" i="8"/>
  <c r="I112" i="8" s="1"/>
  <c r="G52" i="8" s="1"/>
  <c r="J51" i="4"/>
  <c r="D51" i="4"/>
  <c r="E51" i="4" s="1"/>
  <c r="L31" i="12"/>
  <c r="K62" i="12"/>
  <c r="I62" i="12" s="1"/>
  <c r="J59" i="12"/>
  <c r="C59" i="12"/>
  <c r="G125" i="12" s="1"/>
  <c r="K34" i="4"/>
  <c r="I34" i="4" s="1"/>
  <c r="D52" i="8"/>
  <c r="E51" i="8"/>
  <c r="I54" i="4"/>
  <c r="J54" i="4" s="1"/>
  <c r="J31" i="4" s="1"/>
  <c r="J54" i="8"/>
  <c r="J31" i="8" s="1"/>
  <c r="C54" i="8"/>
  <c r="I31" i="8"/>
  <c r="C34" i="8"/>
  <c r="G90" i="8"/>
  <c r="I90" i="8" s="1"/>
  <c r="G93" i="8" s="1"/>
  <c r="J34" i="8"/>
  <c r="L34" i="8" s="1"/>
  <c r="G109" i="4" l="1"/>
  <c r="I109" i="4" s="1"/>
  <c r="G112" i="4" s="1"/>
  <c r="G108" i="8"/>
  <c r="I108" i="8" s="1"/>
  <c r="G111" i="8" s="1"/>
  <c r="D52" i="4"/>
  <c r="K31" i="12"/>
  <c r="K34" i="12" s="1"/>
  <c r="I34" i="12" s="1"/>
  <c r="I125" i="12"/>
  <c r="I130" i="12" s="1"/>
  <c r="G60" i="12" s="1"/>
  <c r="D59" i="12"/>
  <c r="J34" i="4"/>
  <c r="L34" i="4" s="1"/>
  <c r="G90" i="4"/>
  <c r="I90" i="4" s="1"/>
  <c r="G93" i="4" s="1"/>
  <c r="C34" i="4"/>
  <c r="D34" i="4" s="1"/>
  <c r="C54" i="4"/>
  <c r="G117" i="4" s="1"/>
  <c r="I31" i="4"/>
  <c r="D54" i="8"/>
  <c r="G116" i="8"/>
  <c r="C31" i="8"/>
  <c r="D34" i="8"/>
  <c r="G89" i="8"/>
  <c r="I89" i="8" s="1"/>
  <c r="I94" i="8" s="1"/>
  <c r="G35" i="8" s="1"/>
  <c r="I117" i="4" l="1"/>
  <c r="I122" i="4" s="1"/>
  <c r="G55" i="4" s="1"/>
  <c r="G32" i="4" s="1"/>
  <c r="G126" i="12"/>
  <c r="I126" i="12" s="1"/>
  <c r="G129" i="12" s="1"/>
  <c r="I116" i="8"/>
  <c r="I121" i="8" s="1"/>
  <c r="G55" i="8" s="1"/>
  <c r="G32" i="8" s="1"/>
  <c r="D60" i="12"/>
  <c r="E59" i="12"/>
  <c r="J62" i="12"/>
  <c r="J31" i="12" s="1"/>
  <c r="I31" i="12"/>
  <c r="C62" i="12"/>
  <c r="G98" i="12"/>
  <c r="I98" i="12" s="1"/>
  <c r="G101" i="12" s="1"/>
  <c r="C34" i="12"/>
  <c r="J34" i="12"/>
  <c r="L34" i="12" s="1"/>
  <c r="G89" i="4"/>
  <c r="I89" i="4" s="1"/>
  <c r="I94" i="4" s="1"/>
  <c r="G35" i="4" s="1"/>
  <c r="D54" i="4"/>
  <c r="D55" i="4" s="1"/>
  <c r="C31" i="4"/>
  <c r="D35" i="8"/>
  <c r="E34" i="8"/>
  <c r="E54" i="8"/>
  <c r="E31" i="8" s="1"/>
  <c r="D55" i="8"/>
  <c r="D31" i="8"/>
  <c r="D32" i="8" s="1"/>
  <c r="D35" i="4"/>
  <c r="E34" i="4"/>
  <c r="G118" i="4" l="1"/>
  <c r="I118" i="4" s="1"/>
  <c r="G121" i="4" s="1"/>
  <c r="G117" i="8"/>
  <c r="I117" i="8" s="1"/>
  <c r="G120" i="8" s="1"/>
  <c r="G134" i="12"/>
  <c r="D62" i="12"/>
  <c r="C31" i="12"/>
  <c r="G97" i="12"/>
  <c r="I97" i="12" s="1"/>
  <c r="I102" i="12" s="1"/>
  <c r="G35" i="12" s="1"/>
  <c r="D34" i="12"/>
  <c r="E54" i="4"/>
  <c r="E31" i="4" s="1"/>
  <c r="D31" i="4"/>
  <c r="D32" i="4" s="1"/>
  <c r="I134" i="12" l="1"/>
  <c r="I139" i="12" s="1"/>
  <c r="G63" i="12" s="1"/>
  <c r="G32" i="12" s="1"/>
  <c r="E34" i="12"/>
  <c r="D35" i="12"/>
  <c r="D63" i="12"/>
  <c r="D31" i="12"/>
  <c r="D32" i="12" s="1"/>
  <c r="E62" i="12"/>
  <c r="E31" i="12" s="1"/>
  <c r="G135" i="12" l="1"/>
  <c r="I135" i="12" s="1"/>
  <c r="G138" i="1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<sst xmlns="http://schemas.openxmlformats.org/spreadsheetml/2006/main" count="1174" uniqueCount="307">
  <si>
    <t>9 g / kg as</t>
  </si>
  <si>
    <t>Paramètres</t>
  </si>
  <si>
    <t>T°c</t>
  </si>
  <si>
    <t>Volume</t>
  </si>
  <si>
    <t>Poids</t>
  </si>
  <si>
    <t>W</t>
  </si>
  <si>
    <t>Enthalpie</t>
  </si>
  <si>
    <t>(humidité abs)</t>
  </si>
  <si>
    <t>m3/kgas</t>
  </si>
  <si>
    <t>total</t>
  </si>
  <si>
    <t>kg as</t>
  </si>
  <si>
    <t>kg/kgas</t>
  </si>
  <si>
    <t>kj/kgas</t>
  </si>
  <si>
    <t>kcal/kgas</t>
  </si>
  <si>
    <t>total kj</t>
  </si>
  <si>
    <t>total kcal</t>
  </si>
  <si>
    <t>m3</t>
  </si>
  <si>
    <t>kg eau</t>
  </si>
  <si>
    <t>Pa</t>
  </si>
  <si>
    <t xml:space="preserve">Pression de vapeur de l'air </t>
  </si>
  <si>
    <t>Pression partielle de vapeur saturante Pws à</t>
  </si>
  <si>
    <t>Pression de vapeur saturante</t>
  </si>
  <si>
    <t>Th - température humide - pression de vapeur</t>
  </si>
  <si>
    <t>T°C bulbe humide</t>
  </si>
  <si>
    <t>Tr - température de rosée - pression de vapeur</t>
  </si>
  <si>
    <t>Point de rosée</t>
  </si>
  <si>
    <t>Ws Ts -  humidité abs à la température sèche</t>
  </si>
  <si>
    <t>isotherme 100%</t>
  </si>
  <si>
    <t>Ws Th - humidité abs à la température humide</t>
  </si>
  <si>
    <t>isenthalpe 100%</t>
  </si>
  <si>
    <t>Humidité relative HR%</t>
  </si>
  <si>
    <t>φ</t>
  </si>
  <si>
    <t>%</t>
  </si>
  <si>
    <t>Humidité relative de l'air  (HR)</t>
  </si>
  <si>
    <t>Produit fabriqué :</t>
  </si>
  <si>
    <t>kg / h</t>
  </si>
  <si>
    <t>ltrs / h</t>
  </si>
  <si>
    <t xml:space="preserve">Patm : </t>
  </si>
  <si>
    <t>(kg / m3 as)</t>
  </si>
  <si>
    <t>Air ambiant</t>
  </si>
  <si>
    <t>Evaporation</t>
  </si>
  <si>
    <t>(isenthalpe)</t>
  </si>
  <si>
    <t>Pression partielle de vapeur dans l'air ambiant Pw</t>
  </si>
  <si>
    <t>Caractéristiques de l'air entrée tour</t>
  </si>
  <si>
    <t>Pression partielle de vapeur dans l'air entrant Pw</t>
  </si>
  <si>
    <t xml:space="preserve"> +/- 1</t>
  </si>
  <si>
    <t>Pression partielle de vapeur dans l'air sortant Pw</t>
  </si>
  <si>
    <t>T°c humide</t>
  </si>
  <si>
    <t>T°c de rosée</t>
  </si>
  <si>
    <t>Pv sat.Pe en Pa</t>
  </si>
  <si>
    <t>P air sec Pa</t>
  </si>
  <si>
    <t>ws gr/ kg as</t>
  </si>
  <si>
    <t>H kj / kg</t>
  </si>
  <si>
    <t>ws kg/ kg as</t>
  </si>
  <si>
    <t>v m3 / kg</t>
  </si>
  <si>
    <t>P atm Pa</t>
  </si>
  <si>
    <t>SDCH Belt Process</t>
  </si>
  <si>
    <t>T°C d'entrée à 160°C</t>
  </si>
  <si>
    <t>Air entrée tour</t>
  </si>
  <si>
    <t>Air entrée VF1 - VF2</t>
  </si>
  <si>
    <t>Air sortie VF1 - VF2</t>
  </si>
  <si>
    <t>Refroidissement</t>
  </si>
  <si>
    <r>
      <t xml:space="preserve">Product temperature( </t>
    </r>
    <r>
      <rPr>
        <sz val="11"/>
        <color indexed="8"/>
        <rFont val="Arial Tur"/>
        <charset val="162"/>
      </rPr>
      <t>°</t>
    </r>
    <r>
      <rPr>
        <sz val="11"/>
        <color theme="1"/>
        <rFont val="Calibri"/>
        <family val="2"/>
        <scheme val="minor"/>
      </rPr>
      <t>C)</t>
    </r>
  </si>
  <si>
    <t>Specific heats at this temperature</t>
  </si>
  <si>
    <t>Protein(%)</t>
  </si>
  <si>
    <t>Protein specific heat (J/(kg.K)</t>
  </si>
  <si>
    <t>Fat(%)</t>
  </si>
  <si>
    <t>Fat specific heat (J/(kg.K)</t>
  </si>
  <si>
    <t>Carbonhydrate(%)</t>
  </si>
  <si>
    <t>Carbonhydrate specific heat (J/(kg.K)</t>
  </si>
  <si>
    <t>Fiber(%)</t>
  </si>
  <si>
    <t>Fiber specific heat (J/(kg.K)</t>
  </si>
  <si>
    <t>Ash(%)</t>
  </si>
  <si>
    <t>Ash specific heat (J/(kg.K)</t>
  </si>
  <si>
    <t>Water(%)</t>
  </si>
  <si>
    <t>Water specific heat (J/(kg.K)</t>
  </si>
  <si>
    <t>Note: Values for specific heat calculated</t>
  </si>
  <si>
    <t xml:space="preserve"> using Choi and Okos correlations</t>
  </si>
  <si>
    <t>Specific heat at this temperature =</t>
  </si>
  <si>
    <t>(J/(kg.K)</t>
  </si>
  <si>
    <t>(Kcal/(kg.K)</t>
  </si>
  <si>
    <t>Ecart</t>
  </si>
  <si>
    <t>Air secondaire - Total VF</t>
  </si>
  <si>
    <t>Air sortie Chambre - Tall Form</t>
  </si>
  <si>
    <t>Humidité d'hydratation poudre :</t>
  </si>
  <si>
    <t>NRJ chauffage</t>
  </si>
  <si>
    <t>Air entrant</t>
  </si>
  <si>
    <t>Eau évaporée</t>
  </si>
  <si>
    <t>Kcal</t>
  </si>
  <si>
    <t>/tee</t>
  </si>
  <si>
    <t>Ref Tour W</t>
  </si>
  <si>
    <t>NB : hors roue dissécatrice VF 3 - 4</t>
  </si>
  <si>
    <t>ES sortie Evapo % :</t>
  </si>
  <si>
    <t>Taux de lactose % :</t>
  </si>
  <si>
    <t>Composition du concentré :</t>
  </si>
  <si>
    <t>Eau de cristallisation %/L :</t>
  </si>
  <si>
    <t>Eau évaporée :</t>
  </si>
  <si>
    <t>Calculée :</t>
  </si>
  <si>
    <t>Tall Form :</t>
  </si>
  <si>
    <t xml:space="preserve">Vérif eau évaporée : </t>
  </si>
  <si>
    <t>Taux de cristal. Avant séchage % :</t>
  </si>
  <si>
    <t>Taux de cristallisation après BP % :</t>
  </si>
  <si>
    <t>Extrait sec Poudre sortie BP :</t>
  </si>
  <si>
    <t>Humidité d'hydratation poudre BP :</t>
  </si>
  <si>
    <t>Densité à 25°C :</t>
  </si>
  <si>
    <t>Poudre sortie Tall Form :</t>
  </si>
  <si>
    <t>Eau évaporée Tall Form :</t>
  </si>
  <si>
    <t>Kg / h</t>
  </si>
  <si>
    <t>Poudre produite sortie VF :</t>
  </si>
  <si>
    <t>Eau évaporée VF :</t>
  </si>
  <si>
    <t>Caractéristiques de l'air sortie sécheur Tall Form + VF vers cyclone et (ou) bag filter</t>
  </si>
  <si>
    <t>kg / h à</t>
  </si>
  <si>
    <t>Air entrée VF3</t>
  </si>
  <si>
    <t>Air sortie VF3</t>
  </si>
  <si>
    <t>Extrait sec cristallisé entrée VF :</t>
  </si>
  <si>
    <t>Extrait sec entrée cristallisoir :</t>
  </si>
  <si>
    <t>Air sortie tour avant cyclones</t>
  </si>
  <si>
    <t>Total Vibro fluidiseur vers bagfilter</t>
  </si>
  <si>
    <t>Th</t>
  </si>
  <si>
    <t>Tr</t>
  </si>
  <si>
    <t>16,64°C</t>
  </si>
  <si>
    <t>12,45°C</t>
  </si>
  <si>
    <t>Ts</t>
  </si>
  <si>
    <t>23,5°C</t>
  </si>
  <si>
    <t>HR</t>
  </si>
  <si>
    <t>Caractéristiques de l'air sortie VF 3</t>
  </si>
  <si>
    <t>Gilles Valot</t>
  </si>
  <si>
    <t>Powder specific heat VF 3 in</t>
  </si>
  <si>
    <t>Powder specific heat VF 3 out</t>
  </si>
  <si>
    <t>Poudre entrée VF3</t>
  </si>
  <si>
    <t>Poudre sortie VF3</t>
  </si>
  <si>
    <t>Ecart refroidissement VF 3</t>
  </si>
  <si>
    <t>Besoin air + NRJ</t>
  </si>
  <si>
    <t xml:space="preserve">Caractéristiques de l'air ambiant </t>
  </si>
  <si>
    <t xml:space="preserve">Caractéristiques de l'air sortie Tall Form </t>
  </si>
  <si>
    <t xml:space="preserve">Caractéristiques de l'air sortie VF 1-2 </t>
  </si>
  <si>
    <t xml:space="preserve">Caractéristiques de l'air sortie VF 1-2-3 </t>
  </si>
  <si>
    <t xml:space="preserve"> +/- 0,5</t>
  </si>
  <si>
    <t>Vérification des caractéristiques des flux d'air sur le diagramme de Mollier</t>
  </si>
  <si>
    <t>(4,5% / non cristallisé)</t>
  </si>
  <si>
    <t>Poids du concentré traité :</t>
  </si>
  <si>
    <t xml:space="preserve">SDCH </t>
  </si>
  <si>
    <t>(3 à 6%)</t>
  </si>
  <si>
    <t>Simul 1</t>
  </si>
  <si>
    <t>Ratio du poids moléculair vapeur d'eau/air sec</t>
  </si>
  <si>
    <t>corrigé</t>
  </si>
  <si>
    <t>Réel</t>
  </si>
  <si>
    <t>Estimation du séchage avec paramètres classiques idem tour W + VF à débit d'air égal.</t>
  </si>
  <si>
    <t>41°C</t>
  </si>
  <si>
    <t>42,5°C</t>
  </si>
  <si>
    <t>X</t>
  </si>
  <si>
    <t>9 g /kg as</t>
  </si>
  <si>
    <t>Simul 2</t>
  </si>
  <si>
    <t>Total VF vers bagfilter</t>
  </si>
  <si>
    <t>w entrée VF après post-cristallisation</t>
  </si>
  <si>
    <t>Collage = Tg + 10°C</t>
  </si>
  <si>
    <t>Caking = Tg + 20°C</t>
  </si>
  <si>
    <t>Cristallisation = Tg + 20 - 30°C</t>
  </si>
  <si>
    <t>Collapse = Tg + 50°C</t>
  </si>
  <si>
    <t>37% HR</t>
  </si>
  <si>
    <t>6,8% d'eau</t>
  </si>
  <si>
    <t>24°C</t>
  </si>
  <si>
    <t>(si mélange air  VF avec Tall Form)</t>
  </si>
  <si>
    <t>(sortie air directe ou + air VF + bag filter)</t>
  </si>
  <si>
    <t>55 à 60°C</t>
  </si>
  <si>
    <t>Ces éléments ont un impact direct sur la Tg du produit traité.</t>
  </si>
  <si>
    <t>Tg = température de transition vitreuse.</t>
  </si>
  <si>
    <t>Séchage tour type Tall Form + post-cristallisation</t>
  </si>
  <si>
    <t>fluidisé, permet d'augmenter le taux de cristallisation du produit fini et de diminuer</t>
  </si>
  <si>
    <t>Le principe est de sécher le produit dans une première étape, en gardant suffisament</t>
  </si>
  <si>
    <t>du béta-lactose et lu lactose alpha-anhydre en lactose alpha monohydraté.</t>
  </si>
  <si>
    <t>Cette simulation est une estimation des paramètres pour le séchage de SDCH</t>
  </si>
  <si>
    <t xml:space="preserve">Simul 1 </t>
  </si>
  <si>
    <t>Même simulation que simul 1, mais en position séchage classique type tour W, sans</t>
  </si>
  <si>
    <t>Seules les cellules jaunes sont modifiables, les autres cellules peuvent être ajustées</t>
  </si>
  <si>
    <t>soit en modifiant les cellules jaunes en manuel, soit en utilisant la fonction Excel</t>
  </si>
  <si>
    <t>vitrification totale et température de fusion.</t>
  </si>
  <si>
    <t>Un peu avant la température de fusion, on trouve la température de collapse et encore</t>
  </si>
  <si>
    <t>Pour info, sur des produits laitiers :</t>
  </si>
  <si>
    <t>Ex. Equilibre du lactose amorphe</t>
  </si>
  <si>
    <t>post-cristallisation. Il s'agit d'une position de secours.</t>
  </si>
  <si>
    <t xml:space="preserve">l'hygroscopicité de la poudre. Ce système est particulièrement adapté au séchage du </t>
  </si>
  <si>
    <t xml:space="preserve">Le séchage couplé Tall Form, post-cristallisation sur bande et séchage final sur lit </t>
  </si>
  <si>
    <t>Humidité relative de l'air sortie Tall Form entre 37 et 50% ?</t>
  </si>
  <si>
    <t>Le séchageTall Form et VF 1 - 2 est considéré comme adiabatique.</t>
  </si>
  <si>
    <t xml:space="preserve">La température et l'humidité relative en sortie tour dépendent de la qualité du produit </t>
  </si>
  <si>
    <t xml:space="preserve">entrant en particulier, la teneur en acide lactique, en sels mineraux et au niveau d'hydrolyse </t>
  </si>
  <si>
    <t xml:space="preserve">une valeur contenant un calcul, saisir une "valeur cible", en visant une des cellules en </t>
  </si>
  <si>
    <t xml:space="preserve">L'équilibre lactose amorphe/eau varie en fonction de la composition du produit et en particulier </t>
  </si>
  <si>
    <t>de la teneur en protéines.</t>
  </si>
  <si>
    <r>
      <rPr>
        <b/>
        <sz val="11"/>
        <color rgb="FF00B050"/>
        <rFont val="Arial"/>
        <family val="2"/>
      </rPr>
      <t>Données &gt; analyse et scénarios &gt; valeur cible,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en prenant comme "valeur à définir"</t>
    </r>
  </si>
  <si>
    <r>
      <rPr>
        <b/>
        <sz val="11"/>
        <color theme="1"/>
        <rFont val="Arial"/>
        <family val="2"/>
      </rPr>
      <t>W</t>
    </r>
    <r>
      <rPr>
        <sz val="11"/>
        <color theme="1"/>
        <rFont val="Arial"/>
        <family val="2"/>
      </rPr>
      <t xml:space="preserve"> = humidité absolue, teneur en eau du produit ou de l'air, en general en g.</t>
    </r>
  </si>
  <si>
    <r>
      <rPr>
        <b/>
        <sz val="11"/>
        <color theme="1"/>
        <rFont val="Arial"/>
        <family val="2"/>
      </rPr>
      <t>Tg</t>
    </r>
    <r>
      <rPr>
        <sz val="11"/>
        <color theme="1"/>
        <rFont val="Arial"/>
        <family val="2"/>
      </rPr>
      <t xml:space="preserve"> = température de transition vitreuse, en général, température médianne entre </t>
    </r>
  </si>
  <si>
    <r>
      <rPr>
        <b/>
        <sz val="11"/>
        <color theme="1"/>
        <rFont val="Arial"/>
        <family val="2"/>
      </rPr>
      <t>Aw</t>
    </r>
    <r>
      <rPr>
        <sz val="11"/>
        <color theme="1"/>
        <rFont val="Arial"/>
        <family val="2"/>
      </rPr>
      <t xml:space="preserve"> = activité de l'eau, correspond à l'humidité relative d'équilibre air/produit.</t>
    </r>
  </si>
  <si>
    <r>
      <rPr>
        <b/>
        <sz val="11"/>
        <color theme="1"/>
        <rFont val="Arial"/>
        <family val="2"/>
      </rPr>
      <t>HR</t>
    </r>
    <r>
      <rPr>
        <sz val="11"/>
        <color theme="1"/>
        <rFont val="Arial"/>
        <family val="2"/>
      </rPr>
      <t xml:space="preserve"> = humidité relative en % de l'air en contact avec le produit.</t>
    </r>
  </si>
  <si>
    <t>La température sortie est à régler en fonction du concentré à traiter ou du poids d'air entrant.</t>
  </si>
  <si>
    <t>correspond à un point ou il n'y a plus d'échange eau/air/produit.</t>
  </si>
  <si>
    <t>d'humidité et favorisant la mobilité de l'eau d'hydratation nécessaire à la cristallisation</t>
  </si>
  <si>
    <t>Le système permet de produire des poudres haute fluidité non hygroscopiques.</t>
  </si>
  <si>
    <t>Tour</t>
  </si>
  <si>
    <t>Tall Form</t>
  </si>
  <si>
    <t>(8 à 10%)</t>
  </si>
  <si>
    <t>T_Tg</t>
  </si>
  <si>
    <t>Viser &lt; 20% HR &gt; fonction de la température d'entrée VF 1 - 2</t>
  </si>
  <si>
    <t>Le calcul T-Tg est fonction de la température de l'air et non de la température humide proche de la poudre</t>
  </si>
  <si>
    <t>ce qui augmente le valeur T-Tg.</t>
  </si>
  <si>
    <t xml:space="preserve">Estimation température poudre sortie chambre de séchage </t>
  </si>
  <si>
    <t>aw &gt; 0,39 ==&gt; début de cristallisation du lactose ?</t>
  </si>
  <si>
    <t>jaune, liée à ce calcul, comme "cellule à modifier".</t>
  </si>
  <si>
    <t>avant, près de la Tg, la zone de mottage et de collage.</t>
  </si>
  <si>
    <t>La 1ère phase du séchage se déroule au-delà de la température de transition vitreuse</t>
  </si>
  <si>
    <t>de la poudre sortie chambre de séchage.</t>
  </si>
  <si>
    <t>Remarques et données biblio :</t>
  </si>
  <si>
    <t>Estimation température poudre sortie VF</t>
  </si>
  <si>
    <t>Tour type 2 temps Tall Form et post-cristallisation Niro-GEA :</t>
  </si>
  <si>
    <t>Poudre sortie Tall Form et post-cristallisation :</t>
  </si>
  <si>
    <t>Zone de collage en fonction de T-Tg :</t>
  </si>
  <si>
    <t>Remarques concernant les tables de simulation :</t>
  </si>
  <si>
    <t>du lactose ==&gt; historique techno, bactério et thermique du produit.</t>
  </si>
  <si>
    <t>sur le diagramme de Mollier pour l'air humide.</t>
  </si>
  <si>
    <t>approche théorique des paramètres air et produit</t>
  </si>
  <si>
    <t>Viser 15 à 20% HR sortie Tall Form</t>
  </si>
  <si>
    <t>Viser 37 à 45% HR sortie Tall Form</t>
  </si>
  <si>
    <t>75 à 85°C</t>
  </si>
  <si>
    <t>Viser 29°C T°C sortie air VF3 &gt; fonction de la T°C de l'air entrant VF3</t>
  </si>
  <si>
    <t>Viser 20 - 25% HR &gt; fonction de la T°C d'entrée VF 1 - 2</t>
  </si>
  <si>
    <t>dépend des paramètres du produit, de l'air ambiant,</t>
  </si>
  <si>
    <t>de la température d'entrée tour.</t>
  </si>
  <si>
    <t>Modifier les cellules en jaune ou voir onglet Rem &amp; biblio</t>
  </si>
  <si>
    <t>Cellules modifiables sans calculs en jaune</t>
  </si>
  <si>
    <t>Simulation 1 : Séchage tour type Tall Form</t>
  </si>
  <si>
    <t>Simulation 2 : Séchage tour type Tall Form</t>
  </si>
  <si>
    <t>Relation physique T°C - viscosité - eau du lactose :</t>
  </si>
  <si>
    <t>Isothermes de sorption du lactose et du lait :</t>
  </si>
  <si>
    <r>
      <rPr>
        <b/>
        <sz val="11"/>
        <rFont val="Arial"/>
        <family val="2"/>
      </rPr>
      <t>La feuille Schéma</t>
    </r>
    <r>
      <rPr>
        <sz val="11"/>
        <color theme="1"/>
        <rFont val="Arial"/>
        <family val="2"/>
      </rPr>
      <t xml:space="preserve"> donne un aperçu du système Tall Form  + post-cristallisation.</t>
    </r>
  </si>
  <si>
    <t>Spray dryer with post-crystallization belt</t>
  </si>
  <si>
    <t>En général T-Tg &lt; 0, Tg est un point médian entre état caoutchouteux et état vitreux, +/- 25-30°C</t>
  </si>
  <si>
    <t>Tg°C sortie Tall Form</t>
  </si>
  <si>
    <t>Tg°C sortie VF 1 - 2</t>
  </si>
  <si>
    <t>pré-cristallisé à 72% avec post cristallisation et réglage aw finale sur lit fluidisé.</t>
  </si>
  <si>
    <t>Cristallisation = Tg + 20 à 30°C</t>
  </si>
  <si>
    <t>La température poudre se situe environ à mi chemin entre la température de l'air de séchage et sa température humide.</t>
  </si>
  <si>
    <t>Limite T-Tg = &gt; 25°C ; si T-Tg &lt;= 10°C pas de collage.</t>
  </si>
  <si>
    <t>En général T-Tg des produits laitiers hors perméat, est plus haute que celle du lactose amorphe seul, +5 à 8°C.</t>
  </si>
  <si>
    <t>En général T-Tg des produits laitiers hors perméat, est plus haute que celle du lactose amorphe seul, 5 à 8°C.</t>
  </si>
  <si>
    <t>Besoin en NRJ</t>
  </si>
  <si>
    <t>Tall Form + BP + VF</t>
  </si>
  <si>
    <t>Vitrification = T &lt; Tg, aw &lt; 0,2</t>
  </si>
  <si>
    <r>
      <t>a</t>
    </r>
    <r>
      <rPr>
        <b/>
        <vertAlign val="subscript"/>
        <sz val="12"/>
        <color rgb="FF0070C0"/>
        <rFont val="Arial"/>
        <family val="2"/>
      </rPr>
      <t>w</t>
    </r>
    <r>
      <rPr>
        <b/>
        <sz val="12"/>
        <color rgb="FF0070C0"/>
        <rFont val="Arial"/>
        <family val="2"/>
      </rPr>
      <t xml:space="preserve"> du produit en cours de séchage = environ humidité relative en % de l'air sortant.</t>
    </r>
  </si>
  <si>
    <t xml:space="preserve"> ==&gt; zone vitreuse (glassy state)</t>
  </si>
  <si>
    <t xml:space="preserve">Collage = Tg + 10 à 15°C </t>
  </si>
  <si>
    <t xml:space="preserve">Caking (mottage) = Tg +15 à 20°C </t>
  </si>
  <si>
    <t xml:space="preserve"> ==&gt; very sticky</t>
  </si>
  <si>
    <t xml:space="preserve"> ==&gt; limite du collage  (limit of sticking zone)</t>
  </si>
  <si>
    <t xml:space="preserve"> ==&gt; collant (sticky)</t>
  </si>
  <si>
    <t xml:space="preserve">Collapse (effondrement) = Tg + 30 à 50°C  </t>
  </si>
  <si>
    <t xml:space="preserve"> ==&gt; coulant (flow)</t>
  </si>
  <si>
    <t>ce qui augmente la valeur T-Tg.</t>
  </si>
  <si>
    <t xml:space="preserve"> + Belt  + VF</t>
  </si>
  <si>
    <t>Extrait sec cristallisé entrée séchage :</t>
  </si>
  <si>
    <t>Extrait sec poudre sortie VF  :</t>
  </si>
  <si>
    <t>Extrait sec poudre sortie VF :</t>
  </si>
  <si>
    <t>Air rejeté sortie VF + sortie Tall Form :</t>
  </si>
  <si>
    <t>Vibro fluidiseur (VF) :</t>
  </si>
  <si>
    <t>BP = belt process</t>
  </si>
  <si>
    <t>VF = vibro fluidiseur</t>
  </si>
  <si>
    <t>Extrait sec cristallisé = extraitsec entrée cristallisoir + eau de cristallisation</t>
  </si>
  <si>
    <t>Humidité d'hydratation = eau +/- libre , extractible par disséccation</t>
  </si>
  <si>
    <t>Séchage Tall Form + BP :</t>
  </si>
  <si>
    <t>Vapeur - t</t>
  </si>
  <si>
    <t>Gaz - kWh Pcs</t>
  </si>
  <si>
    <t>Electricité - kWh</t>
  </si>
  <si>
    <t>Estimation du séchage avec post cristallisation sur bande et fin séchage sur VF avec données Relco</t>
  </si>
  <si>
    <t>Air entrée VF2</t>
  </si>
  <si>
    <t>Air entrée VF1</t>
  </si>
  <si>
    <t xml:space="preserve">Air sortie VF1 </t>
  </si>
  <si>
    <t>Air sortie VF2</t>
  </si>
  <si>
    <t>Caractéristiques de l'air sortie VF 1</t>
  </si>
  <si>
    <t>Caractéristiques de l'air sortie VF 2</t>
  </si>
  <si>
    <t>Simulation 3 : Séchage tour type Tall Form</t>
  </si>
  <si>
    <t>70 à 75°C ???</t>
  </si>
  <si>
    <t>180 à 182°C ???</t>
  </si>
  <si>
    <t>49,2 g /kg as</t>
  </si>
  <si>
    <t>58°C</t>
  </si>
  <si>
    <t>(8 à 10% &gt; isotherme de sorption)</t>
  </si>
  <si>
    <t>(environ 4,5% / non cristallisé)</t>
  </si>
  <si>
    <t>Simul 3</t>
  </si>
  <si>
    <t>Estimation du séchage avec post cristallisation sur bande et fin séchage sur VF d'après GEA-Niro.Voir schéma.</t>
  </si>
  <si>
    <t>T-Tg en post cristallisation ==&gt; 25 à 30°C ?</t>
  </si>
  <si>
    <t>Tg du lactose amorphe en fonction de l'aw (&lt; 0,575):</t>
  </si>
  <si>
    <t>Les produits laitiers contenant du lactose ont sensiblement la même courbe de sorption/désorption.</t>
  </si>
  <si>
    <r>
      <t>EstimationTg et zone de collageT-Tg,  référence lactose amorphe si équilibre air / produit (a</t>
    </r>
    <r>
      <rPr>
        <b/>
        <u/>
        <vertAlign val="subscript"/>
        <sz val="12"/>
        <color rgb="FF0070C0"/>
        <rFont val="Arial"/>
        <family val="2"/>
      </rPr>
      <t>w</t>
    </r>
    <r>
      <rPr>
        <b/>
        <u/>
        <sz val="12"/>
        <color rgb="FF0070C0"/>
        <rFont val="Arial"/>
        <family val="2"/>
      </rPr>
      <t>)</t>
    </r>
  </si>
  <si>
    <t>Simul 1 = paramètres GEA-NIRO, Simul 3 = paramètres Relco.</t>
  </si>
  <si>
    <t>T°C d'entrée à 180°C</t>
  </si>
  <si>
    <t>71,5°C</t>
  </si>
  <si>
    <t>51,3 g /kg as</t>
  </si>
  <si>
    <t>44,5°C</t>
  </si>
  <si>
    <t>Relco</t>
  </si>
  <si>
    <t>GEA-Niro</t>
  </si>
  <si>
    <t>155 à 160°C</t>
  </si>
  <si>
    <t>voir T-Tg</t>
  </si>
  <si>
    <r>
      <rPr>
        <b/>
        <sz val="11"/>
        <color theme="1"/>
        <rFont val="Arial"/>
        <family val="2"/>
      </rPr>
      <t>Mollier S1 et Mollier S3</t>
    </r>
    <r>
      <rPr>
        <sz val="11"/>
        <color theme="1"/>
        <rFont val="Arial"/>
        <family val="2"/>
      </rPr>
      <t xml:space="preserve"> donnent la retranscription des paramètres simul 1 et simul 3</t>
    </r>
  </si>
  <si>
    <r>
      <rPr>
        <b/>
        <sz val="11"/>
        <color theme="1"/>
        <rFont val="Arial"/>
        <family val="2"/>
      </rPr>
      <t>T- Tg</t>
    </r>
    <r>
      <rPr>
        <sz val="11"/>
        <color theme="1"/>
        <rFont val="Arial"/>
        <family val="2"/>
      </rPr>
      <t xml:space="preserve"> = Température poudre - Température de transition vitreuse.</t>
    </r>
  </si>
  <si>
    <t>lactosérum doux et du perméat de lactosérum ou de lait.</t>
  </si>
  <si>
    <t xml:space="preserve">L'humidité libre du lait entier en poudre est généralement de 3,5%, d'après le diagramme </t>
  </si>
  <si>
    <t xml:space="preserve">ci-dessus la poudre doit être stockée à une température &lt; 45°C. Ce point correspond à une </t>
  </si>
  <si>
    <t>Aw de la poudre d'environ 0,2 - 0,25 à 25°C.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</si>
</sst>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0.000"/>
    <numFmt numFmtId="165" formatCode="#,##0.000"/>
    <numFmt numFmtId="166" formatCode="0.0000"/>
    <numFmt numFmtId="167" formatCode="0.0"/>
    <numFmt numFmtId="168" formatCode="0.0000&quot; kg/kgas&quot;"/>
    <numFmt numFmtId="169" formatCode="0.0&quot; °c&quot;"/>
    <numFmt numFmtId="170" formatCode="0.00&quot; °c&quot;"/>
    <numFmt numFmtId="171" formatCode="0.0000&quot; kg / kg as&quot;"/>
    <numFmt numFmtId="172" formatCode="0.00000"/>
    <numFmt numFmtId="173" formatCode="#,##0.0&quot; %&quot;"/>
    <numFmt numFmtId="174" formatCode="&quot;(&quot;0.000&quot;)&quot;"/>
    <numFmt numFmtId="175" formatCode="#,##0.00000"/>
    <numFmt numFmtId="176" formatCode="#,##0.00000000"/>
    <numFmt numFmtId="177" formatCode="0&quot; % HR&quot;"/>
    <numFmt numFmtId="178" formatCode="#,##0.0"/>
    <numFmt numFmtId="179" formatCode="0.0&quot; °C&quot;"/>
  </numFmts>
  <fonts count="67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22"/>
      <color rgb="FF0070C0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sz val="11"/>
      <name val="Arial"/>
      <family val="2"/>
    </font>
    <font>
      <b/>
      <sz val="11"/>
      <color indexed="10"/>
      <name val="Arial"/>
      <family val="2"/>
    </font>
    <font>
      <b/>
      <sz val="11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b/>
      <sz val="12"/>
      <color indexed="10"/>
      <name val="Arial"/>
      <family val="2"/>
    </font>
    <font>
      <b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1"/>
      <color indexed="12"/>
      <name val="Arial"/>
      <family val="2"/>
    </font>
    <font>
      <sz val="11"/>
      <color rgb="FF0000FF"/>
      <name val="Arial"/>
      <family val="2"/>
    </font>
    <font>
      <sz val="11"/>
      <color indexed="10"/>
      <name val="Arial"/>
      <family val="2"/>
    </font>
    <font>
      <sz val="8"/>
      <name val="Arial"/>
      <family val="2"/>
    </font>
    <font>
      <sz val="11"/>
      <color rgb="FFFF0000"/>
      <name val="Arial"/>
      <family val="2"/>
    </font>
    <font>
      <sz val="10"/>
      <name val="Comic Sans MS"/>
      <family val="4"/>
    </font>
    <font>
      <b/>
      <sz val="16"/>
      <color rgb="FF0070C0"/>
      <name val="Calibri"/>
      <family val="2"/>
      <scheme val="minor"/>
    </font>
    <font>
      <sz val="11"/>
      <color indexed="8"/>
      <name val="Arial Tur"/>
      <charset val="162"/>
    </font>
    <font>
      <b/>
      <sz val="11"/>
      <color theme="1"/>
      <name val="Calibri"/>
      <family val="2"/>
      <charset val="162"/>
      <scheme val="minor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8"/>
      <color rgb="FF0000FF"/>
      <name val="Arial"/>
      <family val="2"/>
    </font>
    <font>
      <b/>
      <sz val="10"/>
      <color theme="1"/>
      <name val="Arial"/>
      <family val="2"/>
    </font>
    <font>
      <b/>
      <sz val="12"/>
      <color rgb="FF0070C0"/>
      <name val="Arial"/>
      <family val="2"/>
    </font>
    <font>
      <b/>
      <sz val="14"/>
      <color rgb="FF00B050"/>
      <name val="Arial"/>
      <family val="2"/>
    </font>
    <font>
      <b/>
      <sz val="14"/>
      <color rgb="FFFF0000"/>
      <name val="Arial"/>
      <family val="2"/>
    </font>
    <font>
      <b/>
      <u/>
      <sz val="14"/>
      <color rgb="FFFF0000"/>
      <name val="Calibri"/>
      <family val="2"/>
      <scheme val="minor"/>
    </font>
    <font>
      <b/>
      <sz val="12"/>
      <color rgb="FF00B0F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sz val="11"/>
      <color rgb="FF0070C0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4"/>
      <color rgb="FF0070C0"/>
      <name val="Arial"/>
      <family val="2"/>
    </font>
    <font>
      <u/>
      <sz val="1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B050"/>
      <name val="Arial"/>
      <family val="2"/>
    </font>
    <font>
      <b/>
      <sz val="11"/>
      <color theme="0"/>
      <name val="Arial"/>
      <family val="2"/>
    </font>
    <font>
      <b/>
      <u/>
      <sz val="11"/>
      <color rgb="FF0070C0"/>
      <name val="Arial"/>
      <family val="2"/>
    </font>
    <font>
      <b/>
      <u/>
      <sz val="12"/>
      <color rgb="FF0070C0"/>
      <name val="Arial"/>
      <family val="2"/>
    </font>
    <font>
      <b/>
      <sz val="22"/>
      <color rgb="FF00B050"/>
      <name val="Arial"/>
      <family val="2"/>
    </font>
    <font>
      <b/>
      <sz val="22"/>
      <color rgb="FFFF0000"/>
      <name val="Arial"/>
      <family val="2"/>
    </font>
    <font>
      <b/>
      <vertAlign val="subscript"/>
      <sz val="12"/>
      <color rgb="FF0070C0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Arial"/>
      <family val="2"/>
    </font>
    <font>
      <b/>
      <sz val="12"/>
      <color rgb="FF0070C0"/>
      <name val="Calibri"/>
      <family val="2"/>
      <scheme val="minor"/>
    </font>
    <font>
      <b/>
      <sz val="22"/>
      <color theme="5"/>
      <name val="Arial"/>
      <family val="2"/>
    </font>
    <font>
      <b/>
      <sz val="14"/>
      <color theme="5"/>
      <name val="Arial"/>
      <family val="2"/>
    </font>
    <font>
      <b/>
      <sz val="12"/>
      <color theme="5"/>
      <name val="Calibri"/>
      <family val="2"/>
      <scheme val="minor"/>
    </font>
    <font>
      <b/>
      <sz val="11"/>
      <color theme="5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5"/>
      <name val="Calibri"/>
      <family val="2"/>
      <scheme val="minor"/>
    </font>
    <font>
      <i/>
      <sz val="12"/>
      <color rgb="FF0A0A0A"/>
      <name val="Arial"/>
      <family val="2"/>
    </font>
    <font>
      <b/>
      <u/>
      <vertAlign val="subscript"/>
      <sz val="12"/>
      <color rgb="FF0070C0"/>
      <name val="Arial"/>
      <family val="2"/>
    </font>
    <font>
      <sz val="8"/>
      <name val="Calibri"/>
      <family val="2"/>
      <scheme val="minor"/>
    </font>
    <font>
      <b/>
      <u/>
      <sz val="14"/>
      <color theme="5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3" tint="0.3999450666829432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435">
    <xf numFmtId="0" fontId="0" fillId="0" borderId="0" xfId="0"/>
    <xf numFmtId="0" fontId="1" fillId="0" borderId="0" xfId="0" applyFont="1"/>
    <xf numFmtId="0" fontId="3" fillId="0" borderId="0" xfId="0" applyFont="1"/>
    <xf numFmtId="0" fontId="7" fillId="2" borderId="6" xfId="0" applyFont="1" applyFill="1" applyBorder="1" applyAlignment="1" applyProtection="1">
      <alignment vertical="center"/>
      <protection locked="0"/>
    </xf>
    <xf numFmtId="164" fontId="5" fillId="2" borderId="0" xfId="0" applyNumberFormat="1" applyFont="1" applyFill="1" applyAlignment="1">
      <alignment horizontal="center" vertical="center"/>
    </xf>
    <xf numFmtId="3" fontId="5" fillId="2" borderId="0" xfId="0" applyNumberFormat="1" applyFont="1" applyFill="1" applyAlignment="1" applyProtection="1">
      <alignment horizontal="center" vertical="center"/>
      <protection locked="0"/>
    </xf>
    <xf numFmtId="3" fontId="5" fillId="2" borderId="7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7" fillId="2" borderId="6" xfId="0" applyFont="1" applyFill="1" applyBorder="1" applyAlignment="1">
      <alignment horizontal="right" vertical="center"/>
    </xf>
    <xf numFmtId="0" fontId="5" fillId="2" borderId="5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166" fontId="7" fillId="2" borderId="0" xfId="0" applyNumberFormat="1" applyFont="1" applyFill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vertical="center"/>
    </xf>
    <xf numFmtId="3" fontId="5" fillId="2" borderId="0" xfId="0" applyNumberFormat="1" applyFont="1" applyFill="1" applyAlignment="1">
      <alignment horizontal="center" vertical="center"/>
    </xf>
    <xf numFmtId="0" fontId="5" fillId="2" borderId="6" xfId="0" applyFont="1" applyFill="1" applyBorder="1" applyAlignment="1">
      <alignment vertical="center"/>
    </xf>
    <xf numFmtId="2" fontId="8" fillId="2" borderId="5" xfId="0" applyNumberFormat="1" applyFont="1" applyFill="1" applyBorder="1" applyAlignment="1">
      <alignment horizontal="center" vertical="center"/>
    </xf>
    <xf numFmtId="3" fontId="5" fillId="2" borderId="5" xfId="0" applyNumberFormat="1" applyFont="1" applyFill="1" applyBorder="1" applyAlignment="1">
      <alignment horizontal="center" vertical="center"/>
    </xf>
    <xf numFmtId="166" fontId="5" fillId="2" borderId="0" xfId="0" applyNumberFormat="1" applyFont="1" applyFill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/>
    </xf>
    <xf numFmtId="164" fontId="5" fillId="2" borderId="4" xfId="0" applyNumberFormat="1" applyFont="1" applyFill="1" applyBorder="1" applyAlignment="1">
      <alignment horizontal="center" vertical="center"/>
    </xf>
    <xf numFmtId="3" fontId="5" fillId="2" borderId="4" xfId="0" applyNumberFormat="1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/>
    </xf>
    <xf numFmtId="166" fontId="5" fillId="2" borderId="4" xfId="0" applyNumberFormat="1" applyFont="1" applyFill="1" applyBorder="1" applyAlignment="1">
      <alignment horizontal="center" vertical="center"/>
    </xf>
    <xf numFmtId="3" fontId="5" fillId="2" borderId="3" xfId="0" applyNumberFormat="1" applyFont="1" applyFill="1" applyBorder="1" applyAlignment="1">
      <alignment horizontal="center" vertical="center"/>
    </xf>
    <xf numFmtId="2" fontId="5" fillId="2" borderId="2" xfId="0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167" fontId="6" fillId="2" borderId="5" xfId="0" applyNumberFormat="1" applyFont="1" applyFill="1" applyBorder="1" applyAlignment="1">
      <alignment horizontal="center" vertical="center"/>
    </xf>
    <xf numFmtId="164" fontId="6" fillId="2" borderId="6" xfId="0" applyNumberFormat="1" applyFont="1" applyFill="1" applyBorder="1" applyAlignment="1">
      <alignment horizontal="center" vertical="center"/>
    </xf>
    <xf numFmtId="3" fontId="6" fillId="2" borderId="7" xfId="0" applyNumberFormat="1" applyFont="1" applyFill="1" applyBorder="1" applyAlignment="1">
      <alignment horizontal="center" vertical="center"/>
    </xf>
    <xf numFmtId="3" fontId="6" fillId="2" borderId="5" xfId="0" applyNumberFormat="1" applyFont="1" applyFill="1" applyBorder="1" applyAlignment="1">
      <alignment horizontal="center" vertical="center"/>
    </xf>
    <xf numFmtId="166" fontId="6" fillId="2" borderId="6" xfId="0" applyNumberFormat="1" applyFont="1" applyFill="1" applyBorder="1" applyAlignment="1">
      <alignment horizontal="center" vertical="center"/>
    </xf>
    <xf numFmtId="2" fontId="6" fillId="2" borderId="6" xfId="0" applyNumberFormat="1" applyFont="1" applyFill="1" applyBorder="1" applyAlignment="1">
      <alignment horizontal="center" vertical="center"/>
    </xf>
    <xf numFmtId="2" fontId="6" fillId="2" borderId="0" xfId="0" applyNumberFormat="1" applyFont="1" applyFill="1" applyAlignment="1">
      <alignment horizontal="center" vertical="center"/>
    </xf>
    <xf numFmtId="0" fontId="5" fillId="2" borderId="8" xfId="0" applyFont="1" applyFill="1" applyBorder="1"/>
    <xf numFmtId="2" fontId="8" fillId="2" borderId="11" xfId="0" applyNumberFormat="1" applyFont="1" applyFill="1" applyBorder="1" applyAlignment="1">
      <alignment horizontal="center"/>
    </xf>
    <xf numFmtId="3" fontId="5" fillId="2" borderId="9" xfId="0" applyNumberFormat="1" applyFont="1" applyFill="1" applyBorder="1" applyAlignment="1">
      <alignment horizontal="center"/>
    </xf>
    <xf numFmtId="3" fontId="5" fillId="2" borderId="11" xfId="0" applyNumberFormat="1" applyFont="1" applyFill="1" applyBorder="1" applyAlignment="1">
      <alignment horizontal="center"/>
    </xf>
    <xf numFmtId="3" fontId="5" fillId="2" borderId="10" xfId="0" applyNumberFormat="1" applyFont="1" applyFill="1" applyBorder="1" applyAlignment="1">
      <alignment horizontal="center"/>
    </xf>
    <xf numFmtId="2" fontId="5" fillId="2" borderId="8" xfId="0" applyNumberFormat="1" applyFont="1" applyFill="1" applyBorder="1"/>
    <xf numFmtId="2" fontId="5" fillId="2" borderId="9" xfId="0" applyNumberFormat="1" applyFont="1" applyFill="1" applyBorder="1"/>
    <xf numFmtId="3" fontId="5" fillId="2" borderId="9" xfId="0" applyNumberFormat="1" applyFont="1" applyFill="1" applyBorder="1"/>
    <xf numFmtId="3" fontId="5" fillId="2" borderId="10" xfId="0" applyNumberFormat="1" applyFont="1" applyFill="1" applyBorder="1"/>
    <xf numFmtId="0" fontId="13" fillId="2" borderId="6" xfId="0" applyFont="1" applyFill="1" applyBorder="1" applyAlignment="1" applyProtection="1">
      <alignment vertical="center"/>
      <protection locked="0"/>
    </xf>
    <xf numFmtId="0" fontId="13" fillId="2" borderId="0" xfId="0" applyFont="1" applyFill="1" applyAlignment="1" applyProtection="1">
      <alignment vertical="center"/>
      <protection locked="0"/>
    </xf>
    <xf numFmtId="0" fontId="3" fillId="0" borderId="0" xfId="0" applyFont="1" applyAlignment="1">
      <alignment horizontal="left"/>
    </xf>
    <xf numFmtId="164" fontId="3" fillId="4" borderId="0" xfId="0" applyNumberFormat="1" applyFont="1" applyFill="1" applyAlignment="1">
      <alignment vertical="center"/>
    </xf>
    <xf numFmtId="0" fontId="13" fillId="2" borderId="2" xfId="0" applyFont="1" applyFill="1" applyBorder="1" applyAlignment="1" applyProtection="1">
      <alignment vertical="center"/>
      <protection locked="0"/>
    </xf>
    <xf numFmtId="167" fontId="11" fillId="3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13" fillId="2" borderId="4" xfId="0" applyFont="1" applyFill="1" applyBorder="1" applyAlignment="1" applyProtection="1">
      <alignment vertical="center"/>
      <protection locked="0"/>
    </xf>
    <xf numFmtId="3" fontId="13" fillId="2" borderId="4" xfId="0" applyNumberFormat="1" applyFont="1" applyFill="1" applyBorder="1" applyAlignment="1" applyProtection="1">
      <alignment vertical="center"/>
      <protection locked="0"/>
    </xf>
    <xf numFmtId="169" fontId="13" fillId="2" borderId="3" xfId="0" applyNumberFormat="1" applyFont="1" applyFill="1" applyBorder="1" applyAlignment="1" applyProtection="1">
      <alignment horizontal="center" vertical="center"/>
      <protection locked="0"/>
    </xf>
    <xf numFmtId="0" fontId="0" fillId="2" borderId="0" xfId="0" applyFill="1" applyAlignment="1" applyProtection="1">
      <alignment vertical="center"/>
      <protection locked="0"/>
    </xf>
    <xf numFmtId="3" fontId="13" fillId="2" borderId="0" xfId="0" applyNumberFormat="1" applyFont="1" applyFill="1" applyAlignment="1">
      <alignment vertical="center"/>
    </xf>
    <xf numFmtId="3" fontId="13" fillId="2" borderId="0" xfId="0" applyNumberFormat="1" applyFont="1" applyFill="1" applyAlignment="1" applyProtection="1">
      <alignment vertical="center"/>
      <protection locked="0"/>
    </xf>
    <xf numFmtId="0" fontId="0" fillId="2" borderId="7" xfId="0" applyFill="1" applyBorder="1" applyAlignment="1" applyProtection="1">
      <alignment vertical="center"/>
      <protection locked="0"/>
    </xf>
    <xf numFmtId="173" fontId="13" fillId="2" borderId="0" xfId="0" applyNumberFormat="1" applyFont="1" applyFill="1" applyAlignment="1" applyProtection="1">
      <alignment horizontal="center" vertical="center"/>
      <protection locked="0"/>
    </xf>
    <xf numFmtId="0" fontId="13" fillId="2" borderId="8" xfId="0" applyFont="1" applyFill="1" applyBorder="1" applyAlignment="1" applyProtection="1">
      <alignment horizontal="left" vertical="center"/>
      <protection locked="0"/>
    </xf>
    <xf numFmtId="173" fontId="11" fillId="3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Continuous" vertical="center"/>
      <protection locked="0"/>
    </xf>
    <xf numFmtId="0" fontId="1" fillId="2" borderId="9" xfId="0" applyFont="1" applyFill="1" applyBorder="1" applyAlignment="1" applyProtection="1">
      <alignment horizontal="right" vertical="center"/>
      <protection locked="0"/>
    </xf>
    <xf numFmtId="3" fontId="1" fillId="2" borderId="10" xfId="0" applyNumberFormat="1" applyFont="1" applyFill="1" applyBorder="1" applyAlignment="1" applyProtection="1">
      <alignment horizontal="left" vertical="center"/>
      <protection locked="0"/>
    </xf>
    <xf numFmtId="0" fontId="12" fillId="2" borderId="1" xfId="0" applyFont="1" applyFill="1" applyBorder="1" applyProtection="1">
      <protection locked="0"/>
    </xf>
    <xf numFmtId="0" fontId="12" fillId="2" borderId="2" xfId="0" applyFont="1" applyFill="1" applyBorder="1" applyProtection="1">
      <protection locked="0"/>
    </xf>
    <xf numFmtId="0" fontId="12" fillId="2" borderId="3" xfId="0" applyFont="1" applyFill="1" applyBorder="1" applyProtection="1">
      <protection locked="0"/>
    </xf>
    <xf numFmtId="0" fontId="12" fillId="2" borderId="4" xfId="0" applyFont="1" applyFill="1" applyBorder="1" applyProtection="1">
      <protection locked="0"/>
    </xf>
    <xf numFmtId="0" fontId="10" fillId="2" borderId="5" xfId="0" applyFont="1" applyFill="1" applyBorder="1" applyProtection="1">
      <protection locked="0"/>
    </xf>
    <xf numFmtId="0" fontId="13" fillId="2" borderId="5" xfId="0" applyFont="1" applyFill="1" applyBorder="1" applyAlignment="1" applyProtection="1">
      <alignment horizontal="center"/>
      <protection locked="0"/>
    </xf>
    <xf numFmtId="0" fontId="13" fillId="2" borderId="6" xfId="0" applyFont="1" applyFill="1" applyBorder="1" applyAlignment="1" applyProtection="1">
      <alignment horizontal="center"/>
      <protection locked="0"/>
    </xf>
    <xf numFmtId="0" fontId="13" fillId="2" borderId="7" xfId="0" applyFont="1" applyFill="1" applyBorder="1" applyAlignment="1" applyProtection="1">
      <alignment horizontal="center"/>
      <protection locked="0"/>
    </xf>
    <xf numFmtId="0" fontId="13" fillId="2" borderId="6" xfId="0" applyFont="1" applyFill="1" applyBorder="1" applyAlignment="1" applyProtection="1">
      <alignment horizontal="centerContinuous"/>
      <protection locked="0"/>
    </xf>
    <xf numFmtId="0" fontId="13" fillId="2" borderId="7" xfId="0" applyFont="1" applyFill="1" applyBorder="1" applyAlignment="1" applyProtection="1">
      <alignment horizontal="centerContinuous"/>
      <protection locked="0"/>
    </xf>
    <xf numFmtId="0" fontId="13" fillId="2" borderId="0" xfId="0" applyFont="1" applyFill="1" applyAlignment="1" applyProtection="1">
      <alignment horizontal="centerContinuous"/>
      <protection locked="0"/>
    </xf>
    <xf numFmtId="0" fontId="13" fillId="2" borderId="5" xfId="0" applyFont="1" applyFill="1" applyBorder="1" applyProtection="1">
      <protection locked="0"/>
    </xf>
    <xf numFmtId="0" fontId="18" fillId="2" borderId="6" xfId="0" applyFont="1" applyFill="1" applyBorder="1" applyAlignment="1" applyProtection="1">
      <alignment horizontal="center"/>
      <protection locked="0"/>
    </xf>
    <xf numFmtId="0" fontId="13" fillId="2" borderId="0" xfId="0" applyFont="1" applyFill="1" applyAlignment="1" applyProtection="1">
      <alignment horizontal="center"/>
      <protection locked="0"/>
    </xf>
    <xf numFmtId="0" fontId="14" fillId="2" borderId="5" xfId="0" applyFont="1" applyFill="1" applyBorder="1" applyAlignment="1" applyProtection="1">
      <alignment horizontal="center"/>
      <protection locked="0"/>
    </xf>
    <xf numFmtId="0" fontId="12" fillId="2" borderId="5" xfId="0" applyFont="1" applyFill="1" applyBorder="1" applyAlignment="1" applyProtection="1">
      <alignment horizontal="center"/>
      <protection locked="0"/>
    </xf>
    <xf numFmtId="0" fontId="12" fillId="2" borderId="5" xfId="0" applyFont="1" applyFill="1" applyBorder="1" applyProtection="1">
      <protection locked="0"/>
    </xf>
    <xf numFmtId="0" fontId="12" fillId="2" borderId="6" xfId="0" applyFont="1" applyFill="1" applyBorder="1" applyAlignment="1" applyProtection="1">
      <alignment horizontal="center"/>
      <protection locked="0"/>
    </xf>
    <xf numFmtId="0" fontId="18" fillId="2" borderId="7" xfId="0" applyFont="1" applyFill="1" applyBorder="1" applyAlignment="1" applyProtection="1">
      <alignment horizontal="center"/>
      <protection locked="0"/>
    </xf>
    <xf numFmtId="0" fontId="12" fillId="2" borderId="6" xfId="0" applyFont="1" applyFill="1" applyBorder="1" applyProtection="1">
      <protection locked="0"/>
    </xf>
    <xf numFmtId="0" fontId="12" fillId="2" borderId="0" xfId="0" applyFont="1" applyFill="1" applyProtection="1">
      <protection locked="0"/>
    </xf>
    <xf numFmtId="0" fontId="12" fillId="2" borderId="7" xfId="0" applyFont="1" applyFill="1" applyBorder="1" applyProtection="1">
      <protection locked="0"/>
    </xf>
    <xf numFmtId="0" fontId="14" fillId="2" borderId="2" xfId="0" applyFont="1" applyFill="1" applyBorder="1" applyAlignment="1" applyProtection="1">
      <alignment horizontal="center"/>
      <protection locked="0"/>
    </xf>
    <xf numFmtId="0" fontId="18" fillId="2" borderId="4" xfId="0" applyFont="1" applyFill="1" applyBorder="1" applyAlignment="1" applyProtection="1">
      <alignment horizontal="center"/>
      <protection locked="0"/>
    </xf>
    <xf numFmtId="0" fontId="18" fillId="2" borderId="3" xfId="0" applyFont="1" applyFill="1" applyBorder="1" applyAlignment="1" applyProtection="1">
      <alignment horizontal="center"/>
      <protection locked="0"/>
    </xf>
    <xf numFmtId="167" fontId="7" fillId="3" borderId="5" xfId="0" applyNumberFormat="1" applyFont="1" applyFill="1" applyBorder="1" applyAlignment="1" applyProtection="1">
      <alignment horizontal="center" vertical="center"/>
      <protection locked="0"/>
    </xf>
    <xf numFmtId="1" fontId="7" fillId="2" borderId="7" xfId="0" applyNumberFormat="1" applyFont="1" applyFill="1" applyBorder="1" applyAlignment="1">
      <alignment horizontal="center" vertical="center"/>
    </xf>
    <xf numFmtId="167" fontId="7" fillId="2" borderId="6" xfId="0" applyNumberFormat="1" applyFont="1" applyFill="1" applyBorder="1" applyAlignment="1">
      <alignment horizontal="center" vertical="center"/>
    </xf>
    <xf numFmtId="167" fontId="5" fillId="2" borderId="0" xfId="0" applyNumberFormat="1" applyFont="1" applyFill="1" applyAlignment="1">
      <alignment horizontal="center" vertical="center"/>
    </xf>
    <xf numFmtId="174" fontId="5" fillId="2" borderId="0" xfId="0" applyNumberFormat="1" applyFont="1" applyFill="1" applyAlignment="1">
      <alignment horizontal="center" vertical="center"/>
    </xf>
    <xf numFmtId="167" fontId="5" fillId="2" borderId="8" xfId="0" applyNumberFormat="1" applyFont="1" applyFill="1" applyBorder="1" applyAlignment="1">
      <alignment horizontal="center" vertical="center"/>
    </xf>
    <xf numFmtId="167" fontId="5" fillId="2" borderId="9" xfId="0" applyNumberFormat="1" applyFont="1" applyFill="1" applyBorder="1" applyAlignment="1">
      <alignment horizontal="center" vertical="center"/>
    </xf>
    <xf numFmtId="167" fontId="5" fillId="2" borderId="2" xfId="0" applyNumberFormat="1" applyFont="1" applyFill="1" applyBorder="1" applyAlignment="1">
      <alignment horizontal="center" vertical="center"/>
    </xf>
    <xf numFmtId="167" fontId="5" fillId="2" borderId="4" xfId="0" applyNumberFormat="1" applyFont="1" applyFill="1" applyBorder="1" applyAlignment="1">
      <alignment horizontal="center" vertical="center"/>
    </xf>
    <xf numFmtId="167" fontId="7" fillId="4" borderId="5" xfId="0" applyNumberFormat="1" applyFont="1" applyFill="1" applyBorder="1" applyAlignment="1">
      <alignment horizontal="center" vertical="center"/>
    </xf>
    <xf numFmtId="3" fontId="7" fillId="2" borderId="5" xfId="0" applyNumberFormat="1" applyFont="1" applyFill="1" applyBorder="1" applyAlignment="1">
      <alignment horizontal="center" vertical="center"/>
    </xf>
    <xf numFmtId="3" fontId="7" fillId="2" borderId="7" xfId="0" applyNumberFormat="1" applyFont="1" applyFill="1" applyBorder="1" applyAlignment="1">
      <alignment horizontal="center" vertical="center"/>
    </xf>
    <xf numFmtId="164" fontId="16" fillId="2" borderId="5" xfId="0" applyNumberFormat="1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left" vertical="center"/>
    </xf>
    <xf numFmtId="164" fontId="16" fillId="2" borderId="0" xfId="0" applyNumberFormat="1" applyFont="1" applyFill="1" applyAlignment="1">
      <alignment horizontal="center" vertical="center"/>
    </xf>
    <xf numFmtId="3" fontId="16" fillId="2" borderId="0" xfId="0" applyNumberFormat="1" applyFont="1" applyFill="1" applyAlignment="1">
      <alignment horizontal="center" vertical="center"/>
    </xf>
    <xf numFmtId="3" fontId="16" fillId="2" borderId="5" xfId="0" applyNumberFormat="1" applyFont="1" applyFill="1" applyBorder="1" applyAlignment="1">
      <alignment horizontal="center" vertical="center"/>
    </xf>
    <xf numFmtId="166" fontId="9" fillId="2" borderId="0" xfId="0" applyNumberFormat="1" applyFont="1" applyFill="1" applyAlignment="1">
      <alignment horizontal="center" vertical="center"/>
    </xf>
    <xf numFmtId="167" fontId="5" fillId="2" borderId="6" xfId="0" applyNumberFormat="1" applyFont="1" applyFill="1" applyBorder="1" applyAlignment="1">
      <alignment horizontal="center" vertical="center"/>
    </xf>
    <xf numFmtId="167" fontId="6" fillId="2" borderId="6" xfId="0" applyNumberFormat="1" applyFont="1" applyFill="1" applyBorder="1" applyAlignment="1">
      <alignment horizontal="center" vertical="center"/>
    </xf>
    <xf numFmtId="167" fontId="6" fillId="2" borderId="0" xfId="0" applyNumberFormat="1" applyFont="1" applyFill="1" applyAlignment="1">
      <alignment horizontal="center" vertical="center"/>
    </xf>
    <xf numFmtId="0" fontId="12" fillId="2" borderId="8" xfId="0" applyFont="1" applyFill="1" applyBorder="1"/>
    <xf numFmtId="2" fontId="11" fillId="2" borderId="11" xfId="0" applyNumberFormat="1" applyFont="1" applyFill="1" applyBorder="1" applyAlignment="1">
      <alignment horizontal="center"/>
    </xf>
    <xf numFmtId="174" fontId="5" fillId="2" borderId="8" xfId="0" applyNumberFormat="1" applyFont="1" applyFill="1" applyBorder="1" applyAlignment="1">
      <alignment horizontal="center" vertical="center"/>
    </xf>
    <xf numFmtId="3" fontId="12" fillId="2" borderId="9" xfId="0" applyNumberFormat="1" applyFont="1" applyFill="1" applyBorder="1" applyAlignment="1">
      <alignment horizontal="center"/>
    </xf>
    <xf numFmtId="3" fontId="12" fillId="2" borderId="11" xfId="0" applyNumberFormat="1" applyFont="1" applyFill="1" applyBorder="1" applyAlignment="1">
      <alignment horizontal="center"/>
    </xf>
    <xf numFmtId="3" fontId="12" fillId="2" borderId="10" xfId="0" applyNumberFormat="1" applyFont="1" applyFill="1" applyBorder="1" applyAlignment="1">
      <alignment horizontal="center"/>
    </xf>
    <xf numFmtId="2" fontId="12" fillId="2" borderId="8" xfId="0" applyNumberFormat="1" applyFont="1" applyFill="1" applyBorder="1" applyAlignment="1">
      <alignment horizontal="center"/>
    </xf>
    <xf numFmtId="2" fontId="12" fillId="2" borderId="9" xfId="0" applyNumberFormat="1" applyFont="1" applyFill="1" applyBorder="1"/>
    <xf numFmtId="3" fontId="12" fillId="2" borderId="9" xfId="0" applyNumberFormat="1" applyFont="1" applyFill="1" applyBorder="1"/>
    <xf numFmtId="3" fontId="12" fillId="2" borderId="10" xfId="0" applyNumberFormat="1" applyFont="1" applyFill="1" applyBorder="1"/>
    <xf numFmtId="3" fontId="0" fillId="0" borderId="0" xfId="0" applyNumberFormat="1"/>
    <xf numFmtId="0" fontId="6" fillId="2" borderId="12" xfId="0" applyFont="1" applyFill="1" applyBorder="1" applyAlignment="1" applyProtection="1">
      <alignment vertical="center"/>
      <protection locked="0"/>
    </xf>
    <xf numFmtId="0" fontId="6" fillId="2" borderId="13" xfId="0" applyFont="1" applyFill="1" applyBorder="1" applyAlignment="1" applyProtection="1">
      <alignment vertical="center"/>
      <protection locked="0"/>
    </xf>
    <xf numFmtId="2" fontId="8" fillId="2" borderId="13" xfId="0" applyNumberFormat="1" applyFont="1" applyFill="1" applyBorder="1" applyAlignment="1" applyProtection="1">
      <alignment vertical="center"/>
      <protection locked="0"/>
    </xf>
    <xf numFmtId="164" fontId="5" fillId="2" borderId="13" xfId="0" applyNumberFormat="1" applyFont="1" applyFill="1" applyBorder="1" applyAlignment="1" applyProtection="1">
      <alignment vertical="center"/>
      <protection locked="0"/>
    </xf>
    <xf numFmtId="3" fontId="5" fillId="2" borderId="13" xfId="0" applyNumberFormat="1" applyFont="1" applyFill="1" applyBorder="1" applyAlignment="1" applyProtection="1">
      <alignment vertical="center"/>
      <protection locked="0"/>
    </xf>
    <xf numFmtId="0" fontId="15" fillId="2" borderId="13" xfId="0" applyFont="1" applyFill="1" applyBorder="1" applyAlignment="1" applyProtection="1">
      <alignment vertical="center"/>
      <protection locked="0"/>
    </xf>
    <xf numFmtId="0" fontId="5" fillId="2" borderId="13" xfId="0" applyFont="1" applyFill="1" applyBorder="1" applyAlignment="1" applyProtection="1">
      <alignment vertical="center"/>
      <protection locked="0"/>
    </xf>
    <xf numFmtId="0" fontId="5" fillId="2" borderId="14" xfId="0" applyFont="1" applyFill="1" applyBorder="1" applyAlignment="1" applyProtection="1">
      <alignment vertical="center"/>
      <protection locked="0"/>
    </xf>
    <xf numFmtId="0" fontId="7" fillId="2" borderId="0" xfId="0" applyFont="1" applyFill="1" applyAlignment="1" applyProtection="1">
      <alignment vertical="center"/>
      <protection locked="0"/>
    </xf>
    <xf numFmtId="168" fontId="7" fillId="2" borderId="0" xfId="0" applyNumberFormat="1" applyFont="1" applyFill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vertical="center"/>
      <protection locked="0"/>
    </xf>
    <xf numFmtId="3" fontId="5" fillId="2" borderId="0" xfId="0" applyNumberFormat="1" applyFont="1" applyFill="1" applyAlignment="1">
      <alignment horizontal="right" vertical="center"/>
    </xf>
    <xf numFmtId="0" fontId="5" fillId="2" borderId="0" xfId="0" applyFont="1" applyFill="1" applyAlignment="1" applyProtection="1">
      <alignment horizontal="left" vertical="center"/>
      <protection locked="0"/>
    </xf>
    <xf numFmtId="0" fontId="5" fillId="2" borderId="7" xfId="0" applyFont="1" applyFill="1" applyBorder="1" applyAlignment="1" applyProtection="1">
      <alignment vertical="center"/>
      <protection locked="0"/>
    </xf>
    <xf numFmtId="0" fontId="5" fillId="2" borderId="6" xfId="0" applyFont="1" applyFill="1" applyBorder="1" applyAlignment="1" applyProtection="1">
      <alignment vertical="center"/>
      <protection locked="0"/>
    </xf>
    <xf numFmtId="169" fontId="5" fillId="2" borderId="0" xfId="0" applyNumberFormat="1" applyFont="1" applyFill="1" applyAlignment="1" applyProtection="1">
      <alignment horizontal="center" vertical="center"/>
      <protection locked="0"/>
    </xf>
    <xf numFmtId="170" fontId="5" fillId="2" borderId="0" xfId="0" applyNumberFormat="1" applyFont="1" applyFill="1" applyAlignment="1" applyProtection="1">
      <alignment vertical="center"/>
      <protection locked="0"/>
    </xf>
    <xf numFmtId="3" fontId="5" fillId="2" borderId="0" xfId="0" applyNumberFormat="1" applyFont="1" applyFill="1" applyAlignment="1">
      <alignment vertical="center"/>
    </xf>
    <xf numFmtId="171" fontId="5" fillId="2" borderId="0" xfId="0" applyNumberFormat="1" applyFont="1" applyFill="1" applyAlignment="1" applyProtection="1">
      <alignment horizontal="center" vertical="center"/>
      <protection locked="0"/>
    </xf>
    <xf numFmtId="0" fontId="6" fillId="2" borderId="8" xfId="0" applyFont="1" applyFill="1" applyBorder="1" applyAlignment="1" applyProtection="1">
      <alignment vertical="center"/>
      <protection locked="0"/>
    </xf>
    <xf numFmtId="0" fontId="6" fillId="2" borderId="9" xfId="0" applyFont="1" applyFill="1" applyBorder="1" applyAlignment="1" applyProtection="1">
      <alignment vertical="center"/>
      <protection locked="0"/>
    </xf>
    <xf numFmtId="0" fontId="17" fillId="2" borderId="9" xfId="0" applyFont="1" applyFill="1" applyBorder="1" applyAlignment="1" applyProtection="1">
      <alignment vertical="center"/>
      <protection locked="0"/>
    </xf>
    <xf numFmtId="167" fontId="6" fillId="2" borderId="9" xfId="0" applyNumberFormat="1" applyFont="1" applyFill="1" applyBorder="1" applyAlignment="1" applyProtection="1">
      <alignment vertical="center"/>
      <protection locked="0"/>
    </xf>
    <xf numFmtId="0" fontId="5" fillId="2" borderId="9" xfId="0" applyFont="1" applyFill="1" applyBorder="1" applyAlignment="1" applyProtection="1">
      <alignment horizontal="left" vertical="center"/>
      <protection locked="0"/>
    </xf>
    <xf numFmtId="0" fontId="5" fillId="2" borderId="10" xfId="0" applyFont="1" applyFill="1" applyBorder="1" applyAlignment="1" applyProtection="1">
      <alignment vertical="center"/>
      <protection locked="0"/>
    </xf>
    <xf numFmtId="0" fontId="5" fillId="2" borderId="13" xfId="0" applyFont="1" applyFill="1" applyBorder="1" applyAlignment="1" applyProtection="1">
      <alignment horizontal="left" vertical="center"/>
      <protection locked="0"/>
    </xf>
    <xf numFmtId="170" fontId="7" fillId="2" borderId="0" xfId="0" applyNumberFormat="1" applyFont="1" applyFill="1" applyAlignment="1" applyProtection="1">
      <alignment vertical="center"/>
      <protection locked="0"/>
    </xf>
    <xf numFmtId="2" fontId="6" fillId="2" borderId="9" xfId="0" applyNumberFormat="1" applyFont="1" applyFill="1" applyBorder="1" applyAlignment="1" applyProtection="1">
      <alignment vertical="center"/>
      <protection locked="0"/>
    </xf>
    <xf numFmtId="0" fontId="7" fillId="2" borderId="8" xfId="0" applyFont="1" applyFill="1" applyBorder="1" applyAlignment="1">
      <alignment horizontal="right" vertical="center"/>
    </xf>
    <xf numFmtId="0" fontId="5" fillId="2" borderId="11" xfId="0" applyFont="1" applyFill="1" applyBorder="1" applyAlignment="1">
      <alignment vertical="center"/>
    </xf>
    <xf numFmtId="174" fontId="5" fillId="2" borderId="9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4" fontId="20" fillId="3" borderId="0" xfId="1" applyNumberFormat="1" applyFont="1" applyFill="1" applyAlignment="1">
      <alignment horizontal="center"/>
    </xf>
    <xf numFmtId="4" fontId="20" fillId="0" borderId="0" xfId="1" applyNumberFormat="1" applyFont="1" applyAlignment="1">
      <alignment horizontal="center"/>
    </xf>
    <xf numFmtId="172" fontId="20" fillId="0" borderId="0" xfId="1" applyNumberFormat="1" applyFont="1" applyAlignment="1">
      <alignment horizontal="center"/>
    </xf>
    <xf numFmtId="0" fontId="20" fillId="0" borderId="0" xfId="1" applyFont="1" applyAlignment="1">
      <alignment horizontal="center"/>
    </xf>
    <xf numFmtId="0" fontId="20" fillId="3" borderId="0" xfId="1" applyFont="1" applyFill="1" applyAlignment="1">
      <alignment horizontal="center"/>
    </xf>
    <xf numFmtId="0" fontId="20" fillId="0" borderId="0" xfId="1" applyFont="1" applyAlignment="1">
      <alignment horizontal="left"/>
    </xf>
    <xf numFmtId="4" fontId="20" fillId="3" borderId="0" xfId="1" applyNumberFormat="1" applyFont="1" applyFill="1"/>
    <xf numFmtId="4" fontId="20" fillId="0" borderId="0" xfId="1" applyNumberFormat="1" applyFont="1"/>
    <xf numFmtId="172" fontId="20" fillId="0" borderId="0" xfId="1" applyNumberFormat="1" applyFont="1"/>
    <xf numFmtId="165" fontId="20" fillId="0" borderId="0" xfId="1" applyNumberFormat="1" applyFont="1"/>
    <xf numFmtId="175" fontId="20" fillId="0" borderId="0" xfId="1" applyNumberFormat="1" applyFont="1"/>
    <xf numFmtId="0" fontId="20" fillId="0" borderId="0" xfId="1" applyFont="1"/>
    <xf numFmtId="176" fontId="20" fillId="0" borderId="0" xfId="1" applyNumberFormat="1" applyFont="1"/>
    <xf numFmtId="4" fontId="20" fillId="6" borderId="0" xfId="1" applyNumberFormat="1" applyFont="1" applyFill="1"/>
    <xf numFmtId="172" fontId="20" fillId="6" borderId="0" xfId="1" applyNumberFormat="1" applyFont="1" applyFill="1"/>
    <xf numFmtId="165" fontId="20" fillId="6" borderId="0" xfId="1" applyNumberFormat="1" applyFont="1" applyFill="1"/>
    <xf numFmtId="0" fontId="12" fillId="0" borderId="0" xfId="1"/>
    <xf numFmtId="0" fontId="5" fillId="2" borderId="8" xfId="0" applyFont="1" applyFill="1" applyBorder="1" applyAlignment="1">
      <alignment vertical="center"/>
    </xf>
    <xf numFmtId="2" fontId="8" fillId="2" borderId="11" xfId="0" applyNumberFormat="1" applyFont="1" applyFill="1" applyBorder="1" applyAlignment="1">
      <alignment horizontal="center" vertical="center"/>
    </xf>
    <xf numFmtId="164" fontId="5" fillId="2" borderId="9" xfId="0" applyNumberFormat="1" applyFont="1" applyFill="1" applyBorder="1" applyAlignment="1">
      <alignment horizontal="center" vertical="center"/>
    </xf>
    <xf numFmtId="3" fontId="5" fillId="2" borderId="9" xfId="0" applyNumberFormat="1" applyFont="1" applyFill="1" applyBorder="1" applyAlignment="1">
      <alignment horizontal="center" vertical="center"/>
    </xf>
    <xf numFmtId="3" fontId="5" fillId="2" borderId="11" xfId="0" applyNumberFormat="1" applyFont="1" applyFill="1" applyBorder="1" applyAlignment="1">
      <alignment horizontal="center" vertical="center"/>
    </xf>
    <xf numFmtId="166" fontId="5" fillId="2" borderId="9" xfId="0" applyNumberFormat="1" applyFont="1" applyFill="1" applyBorder="1" applyAlignment="1">
      <alignment horizontal="center" vertical="center"/>
    </xf>
    <xf numFmtId="3" fontId="5" fillId="2" borderId="10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 applyProtection="1">
      <alignment vertical="center"/>
      <protection locked="0"/>
    </xf>
    <xf numFmtId="0" fontId="21" fillId="0" borderId="0" xfId="0" applyFont="1"/>
    <xf numFmtId="0" fontId="0" fillId="7" borderId="0" xfId="0" applyFill="1"/>
    <xf numFmtId="0" fontId="0" fillId="4" borderId="0" xfId="0" applyFill="1"/>
    <xf numFmtId="167" fontId="0" fillId="8" borderId="0" xfId="0" applyNumberFormat="1" applyFill="1"/>
    <xf numFmtId="0" fontId="23" fillId="9" borderId="2" xfId="0" applyFont="1" applyFill="1" applyBorder="1"/>
    <xf numFmtId="0" fontId="23" fillId="9" borderId="3" xfId="0" applyFont="1" applyFill="1" applyBorder="1"/>
    <xf numFmtId="0" fontId="23" fillId="9" borderId="8" xfId="0" applyFont="1" applyFill="1" applyBorder="1"/>
    <xf numFmtId="0" fontId="0" fillId="9" borderId="10" xfId="0" applyFill="1" applyBorder="1"/>
    <xf numFmtId="0" fontId="0" fillId="8" borderId="0" xfId="0" applyFill="1"/>
    <xf numFmtId="167" fontId="0" fillId="10" borderId="0" xfId="0" applyNumberFormat="1" applyFill="1"/>
    <xf numFmtId="166" fontId="7" fillId="4" borderId="0" xfId="0" applyNumberFormat="1" applyFont="1" applyFill="1" applyAlignment="1">
      <alignment horizontal="center" vertical="center"/>
    </xf>
    <xf numFmtId="3" fontId="9" fillId="2" borderId="7" xfId="0" applyNumberFormat="1" applyFont="1" applyFill="1" applyBorder="1" applyAlignment="1">
      <alignment horizontal="center" vertical="center"/>
    </xf>
    <xf numFmtId="3" fontId="19" fillId="2" borderId="0" xfId="0" applyNumberFormat="1" applyFont="1" applyFill="1" applyAlignment="1">
      <alignment horizontal="center" vertical="center"/>
    </xf>
    <xf numFmtId="3" fontId="19" fillId="2" borderId="7" xfId="0" applyNumberFormat="1" applyFont="1" applyFill="1" applyBorder="1" applyAlignment="1">
      <alignment horizontal="center" vertical="center"/>
    </xf>
    <xf numFmtId="3" fontId="24" fillId="2" borderId="9" xfId="0" applyNumberFormat="1" applyFont="1" applyFill="1" applyBorder="1"/>
    <xf numFmtId="3" fontId="24" fillId="2" borderId="10" xfId="0" applyNumberFormat="1" applyFont="1" applyFill="1" applyBorder="1"/>
    <xf numFmtId="3" fontId="19" fillId="2" borderId="4" xfId="0" applyNumberFormat="1" applyFont="1" applyFill="1" applyBorder="1" applyAlignment="1">
      <alignment horizontal="center" vertical="center"/>
    </xf>
    <xf numFmtId="3" fontId="19" fillId="2" borderId="3" xfId="0" applyNumberFormat="1" applyFont="1" applyFill="1" applyBorder="1" applyAlignment="1">
      <alignment horizontal="center" vertical="center"/>
    </xf>
    <xf numFmtId="0" fontId="24" fillId="2" borderId="4" xfId="0" applyFont="1" applyFill="1" applyBorder="1" applyProtection="1">
      <protection locked="0"/>
    </xf>
    <xf numFmtId="0" fontId="24" fillId="2" borderId="3" xfId="0" applyFont="1" applyFill="1" applyBorder="1" applyProtection="1">
      <protection locked="0"/>
    </xf>
    <xf numFmtId="3" fontId="17" fillId="2" borderId="0" xfId="0" applyNumberFormat="1" applyFont="1" applyFill="1" applyAlignment="1">
      <alignment horizontal="center" vertical="center"/>
    </xf>
    <xf numFmtId="3" fontId="17" fillId="2" borderId="7" xfId="0" applyNumberFormat="1" applyFont="1" applyFill="1" applyBorder="1" applyAlignment="1">
      <alignment horizontal="center" vertical="center"/>
    </xf>
    <xf numFmtId="0" fontId="12" fillId="5" borderId="0" xfId="0" applyFont="1" applyFill="1"/>
    <xf numFmtId="2" fontId="11" fillId="5" borderId="0" xfId="0" applyNumberFormat="1" applyFont="1" applyFill="1" applyAlignment="1">
      <alignment horizontal="center"/>
    </xf>
    <xf numFmtId="174" fontId="5" fillId="5" borderId="0" xfId="0" applyNumberFormat="1" applyFont="1" applyFill="1" applyAlignment="1">
      <alignment horizontal="center" vertical="center"/>
    </xf>
    <xf numFmtId="3" fontId="12" fillId="5" borderId="0" xfId="0" applyNumberFormat="1" applyFont="1" applyFill="1" applyAlignment="1">
      <alignment horizontal="center"/>
    </xf>
    <xf numFmtId="166" fontId="12" fillId="5" borderId="0" xfId="0" applyNumberFormat="1" applyFont="1" applyFill="1" applyAlignment="1">
      <alignment horizontal="center"/>
    </xf>
    <xf numFmtId="2" fontId="12" fillId="5" borderId="0" xfId="0" applyNumberFormat="1" applyFont="1" applyFill="1" applyAlignment="1">
      <alignment horizontal="center"/>
    </xf>
    <xf numFmtId="2" fontId="12" fillId="5" borderId="0" xfId="0" applyNumberFormat="1" applyFont="1" applyFill="1"/>
    <xf numFmtId="3" fontId="12" fillId="5" borderId="0" xfId="0" applyNumberFormat="1" applyFont="1" applyFill="1"/>
    <xf numFmtId="0" fontId="0" fillId="5" borderId="0" xfId="0" applyFill="1"/>
    <xf numFmtId="2" fontId="11" fillId="2" borderId="15" xfId="0" applyNumberFormat="1" applyFont="1" applyFill="1" applyBorder="1" applyAlignment="1">
      <alignment horizontal="center"/>
    </xf>
    <xf numFmtId="0" fontId="13" fillId="2" borderId="12" xfId="0" applyFont="1" applyFill="1" applyBorder="1"/>
    <xf numFmtId="174" fontId="7" fillId="2" borderId="12" xfId="0" applyNumberFormat="1" applyFont="1" applyFill="1" applyBorder="1" applyAlignment="1">
      <alignment horizontal="center" vertical="center"/>
    </xf>
    <xf numFmtId="3" fontId="13" fillId="2" borderId="14" xfId="0" applyNumberFormat="1" applyFont="1" applyFill="1" applyBorder="1" applyAlignment="1">
      <alignment horizontal="center"/>
    </xf>
    <xf numFmtId="3" fontId="13" fillId="2" borderId="15" xfId="0" applyNumberFormat="1" applyFont="1" applyFill="1" applyBorder="1" applyAlignment="1">
      <alignment horizontal="center"/>
    </xf>
    <xf numFmtId="2" fontId="13" fillId="2" borderId="13" xfId="0" applyNumberFormat="1" applyFont="1" applyFill="1" applyBorder="1" applyAlignment="1">
      <alignment horizontal="center"/>
    </xf>
    <xf numFmtId="2" fontId="13" fillId="2" borderId="13" xfId="0" applyNumberFormat="1" applyFont="1" applyFill="1" applyBorder="1"/>
    <xf numFmtId="3" fontId="13" fillId="2" borderId="13" xfId="0" applyNumberFormat="1" applyFont="1" applyFill="1" applyBorder="1" applyAlignment="1">
      <alignment horizontal="center"/>
    </xf>
    <xf numFmtId="3" fontId="0" fillId="5" borderId="7" xfId="0" applyNumberFormat="1" applyFill="1" applyBorder="1"/>
    <xf numFmtId="3" fontId="13" fillId="4" borderId="4" xfId="0" applyNumberFormat="1" applyFont="1" applyFill="1" applyBorder="1" applyAlignment="1" applyProtection="1">
      <alignment vertical="center"/>
      <protection locked="0"/>
    </xf>
    <xf numFmtId="0" fontId="13" fillId="4" borderId="4" xfId="0" applyFont="1" applyFill="1" applyBorder="1" applyAlignment="1" applyProtection="1">
      <alignment vertical="center"/>
      <protection locked="0"/>
    </xf>
    <xf numFmtId="0" fontId="13" fillId="2" borderId="4" xfId="0" applyFont="1" applyFill="1" applyBorder="1" applyAlignment="1" applyProtection="1">
      <alignment horizontal="right" vertical="center"/>
      <protection locked="0"/>
    </xf>
    <xf numFmtId="0" fontId="13" fillId="2" borderId="0" xfId="0" applyFont="1" applyFill="1" applyAlignment="1" applyProtection="1">
      <alignment horizontal="right" vertical="center"/>
      <protection locked="0"/>
    </xf>
    <xf numFmtId="0" fontId="27" fillId="0" borderId="0" xfId="0" applyFont="1"/>
    <xf numFmtId="0" fontId="25" fillId="4" borderId="0" xfId="0" applyFont="1" applyFill="1" applyAlignment="1">
      <alignment horizontal="center"/>
    </xf>
    <xf numFmtId="3" fontId="0" fillId="4" borderId="6" xfId="0" applyNumberFormat="1" applyFill="1" applyBorder="1"/>
    <xf numFmtId="3" fontId="0" fillId="4" borderId="7" xfId="0" applyNumberFormat="1" applyFill="1" applyBorder="1"/>
    <xf numFmtId="3" fontId="0" fillId="4" borderId="8" xfId="0" applyNumberFormat="1" applyFill="1" applyBorder="1"/>
    <xf numFmtId="3" fontId="0" fillId="4" borderId="10" xfId="0" applyNumberFormat="1" applyFill="1" applyBorder="1"/>
    <xf numFmtId="0" fontId="25" fillId="0" borderId="0" xfId="0" applyFont="1" applyAlignment="1">
      <alignment horizontal="right"/>
    </xf>
    <xf numFmtId="0" fontId="27" fillId="0" borderId="0" xfId="0" applyFont="1" applyAlignment="1">
      <alignment horizontal="right"/>
    </xf>
    <xf numFmtId="3" fontId="25" fillId="0" borderId="0" xfId="0" applyNumberFormat="1" applyFont="1" applyAlignment="1">
      <alignment horizontal="center"/>
    </xf>
    <xf numFmtId="0" fontId="4" fillId="0" borderId="0" xfId="0" applyFont="1"/>
    <xf numFmtId="173" fontId="11" fillId="3" borderId="0" xfId="0" applyNumberFormat="1" applyFont="1" applyFill="1" applyAlignment="1" applyProtection="1">
      <alignment horizontal="center" vertical="center"/>
      <protection locked="0"/>
    </xf>
    <xf numFmtId="3" fontId="0" fillId="2" borderId="9" xfId="0" applyNumberFormat="1" applyFill="1" applyBorder="1" applyAlignment="1" applyProtection="1">
      <alignment vertical="center"/>
      <protection locked="0"/>
    </xf>
    <xf numFmtId="169" fontId="13" fillId="4" borderId="0" xfId="0" applyNumberFormat="1" applyFont="1" applyFill="1" applyAlignment="1" applyProtection="1">
      <alignment horizontal="center" vertical="center"/>
      <protection locked="0"/>
    </xf>
    <xf numFmtId="169" fontId="13" fillId="2" borderId="7" xfId="0" applyNumberFormat="1" applyFont="1" applyFill="1" applyBorder="1" applyAlignment="1" applyProtection="1">
      <alignment horizontal="center" vertical="center"/>
      <protection locked="0"/>
    </xf>
    <xf numFmtId="164" fontId="0" fillId="0" borderId="0" xfId="0" applyNumberFormat="1"/>
    <xf numFmtId="0" fontId="28" fillId="2" borderId="9" xfId="0" applyFont="1" applyFill="1" applyBorder="1" applyAlignment="1" applyProtection="1">
      <alignment horizontal="right" vertical="center"/>
      <protection locked="0"/>
    </xf>
    <xf numFmtId="3" fontId="28" fillId="2" borderId="0" xfId="0" applyNumberFormat="1" applyFont="1" applyFill="1" applyAlignment="1">
      <alignment vertical="center"/>
    </xf>
    <xf numFmtId="0" fontId="28" fillId="2" borderId="9" xfId="0" applyFont="1" applyFill="1" applyBorder="1" applyAlignment="1" applyProtection="1">
      <alignment vertical="center"/>
      <protection locked="0"/>
    </xf>
    <xf numFmtId="0" fontId="29" fillId="2" borderId="0" xfId="0" applyFont="1" applyFill="1" applyAlignment="1" applyProtection="1">
      <alignment vertical="center"/>
      <protection locked="0"/>
    </xf>
    <xf numFmtId="0" fontId="28" fillId="2" borderId="0" xfId="0" applyFont="1" applyFill="1" applyAlignment="1" applyProtection="1">
      <alignment horizontal="right" vertical="center"/>
      <protection locked="0"/>
    </xf>
    <xf numFmtId="0" fontId="28" fillId="2" borderId="0" xfId="0" applyFont="1" applyFill="1" applyAlignment="1" applyProtection="1">
      <alignment vertical="center"/>
      <protection locked="0"/>
    </xf>
    <xf numFmtId="0" fontId="13" fillId="2" borderId="6" xfId="0" applyFont="1" applyFill="1" applyBorder="1" applyAlignment="1" applyProtection="1">
      <alignment horizontal="left" vertical="center"/>
      <protection locked="0"/>
    </xf>
    <xf numFmtId="0" fontId="6" fillId="5" borderId="9" xfId="0" applyFont="1" applyFill="1" applyBorder="1" applyAlignment="1" applyProtection="1">
      <alignment vertical="center"/>
      <protection locked="0"/>
    </xf>
    <xf numFmtId="0" fontId="17" fillId="5" borderId="9" xfId="0" applyFont="1" applyFill="1" applyBorder="1" applyAlignment="1" applyProtection="1">
      <alignment vertical="center"/>
      <protection locked="0"/>
    </xf>
    <xf numFmtId="167" fontId="6" fillId="5" borderId="9" xfId="0" applyNumberFormat="1" applyFont="1" applyFill="1" applyBorder="1" applyAlignment="1" applyProtection="1">
      <alignment vertical="center"/>
      <protection locked="0"/>
    </xf>
    <xf numFmtId="0" fontId="5" fillId="5" borderId="9" xfId="0" applyFont="1" applyFill="1" applyBorder="1" applyAlignment="1" applyProtection="1">
      <alignment horizontal="left" vertical="center"/>
      <protection locked="0"/>
    </xf>
    <xf numFmtId="0" fontId="6" fillId="5" borderId="13" xfId="0" applyFont="1" applyFill="1" applyBorder="1" applyAlignment="1" applyProtection="1">
      <alignment vertical="center"/>
      <protection locked="0"/>
    </xf>
    <xf numFmtId="0" fontId="5" fillId="5" borderId="13" xfId="0" applyFont="1" applyFill="1" applyBorder="1" applyAlignment="1" applyProtection="1">
      <alignment vertical="center"/>
      <protection locked="0"/>
    </xf>
    <xf numFmtId="0" fontId="25" fillId="0" borderId="6" xfId="0" applyFont="1" applyBorder="1"/>
    <xf numFmtId="0" fontId="25" fillId="5" borderId="6" xfId="0" applyFont="1" applyFill="1" applyBorder="1" applyAlignment="1">
      <alignment horizontal="left"/>
    </xf>
    <xf numFmtId="0" fontId="25" fillId="0" borderId="6" xfId="0" applyFont="1" applyBorder="1" applyAlignment="1">
      <alignment horizontal="left"/>
    </xf>
    <xf numFmtId="0" fontId="25" fillId="5" borderId="8" xfId="0" applyFont="1" applyFill="1" applyBorder="1" applyAlignment="1">
      <alignment horizontal="left"/>
    </xf>
    <xf numFmtId="3" fontId="0" fillId="5" borderId="0" xfId="0" applyNumberFormat="1" applyFill="1"/>
    <xf numFmtId="3" fontId="0" fillId="4" borderId="9" xfId="0" applyNumberFormat="1" applyFill="1" applyBorder="1" applyAlignment="1">
      <alignment horizontal="right"/>
    </xf>
    <xf numFmtId="164" fontId="0" fillId="0" borderId="6" xfId="0" applyNumberFormat="1" applyBorder="1"/>
    <xf numFmtId="3" fontId="9" fillId="2" borderId="0" xfId="0" applyNumberFormat="1" applyFont="1" applyFill="1" applyAlignment="1">
      <alignment horizontal="center" vertical="center"/>
    </xf>
    <xf numFmtId="0" fontId="30" fillId="0" borderId="0" xfId="0" applyFont="1" applyAlignment="1">
      <alignment horizontal="right"/>
    </xf>
    <xf numFmtId="0" fontId="29" fillId="2" borderId="7" xfId="0" applyFont="1" applyFill="1" applyBorder="1" applyAlignment="1" applyProtection="1">
      <alignment horizontal="right" vertical="center"/>
      <protection locked="0"/>
    </xf>
    <xf numFmtId="17" fontId="29" fillId="2" borderId="7" xfId="0" applyNumberFormat="1" applyFont="1" applyFill="1" applyBorder="1" applyAlignment="1" applyProtection="1">
      <alignment horizontal="right" vertical="center"/>
      <protection locked="0"/>
    </xf>
    <xf numFmtId="2" fontId="0" fillId="5" borderId="0" xfId="0" applyNumberFormat="1" applyFill="1"/>
    <xf numFmtId="167" fontId="0" fillId="5" borderId="0" xfId="0" applyNumberFormat="1" applyFill="1"/>
    <xf numFmtId="0" fontId="25" fillId="0" borderId="4" xfId="0" applyFont="1" applyBorder="1" applyAlignment="1">
      <alignment horizontal="left"/>
    </xf>
    <xf numFmtId="3" fontId="25" fillId="0" borderId="4" xfId="0" applyNumberFormat="1" applyFont="1" applyBorder="1"/>
    <xf numFmtId="0" fontId="25" fillId="0" borderId="4" xfId="0" applyFont="1" applyBorder="1"/>
    <xf numFmtId="164" fontId="26" fillId="4" borderId="0" xfId="0" applyNumberFormat="1" applyFont="1" applyFill="1" applyAlignment="1" applyProtection="1">
      <alignment horizontal="center" vertical="center"/>
      <protection locked="0"/>
    </xf>
    <xf numFmtId="166" fontId="28" fillId="2" borderId="12" xfId="0" applyNumberFormat="1" applyFont="1" applyFill="1" applyBorder="1" applyAlignment="1">
      <alignment horizontal="center"/>
    </xf>
    <xf numFmtId="3" fontId="28" fillId="2" borderId="14" xfId="0" applyNumberFormat="1" applyFont="1" applyFill="1" applyBorder="1" applyAlignment="1">
      <alignment horizontal="center"/>
    </xf>
    <xf numFmtId="0" fontId="31" fillId="2" borderId="0" xfId="0" applyFont="1" applyFill="1" applyAlignment="1" applyProtection="1">
      <alignment horizontal="right" vertical="center"/>
      <protection locked="0"/>
    </xf>
    <xf numFmtId="3" fontId="31" fillId="2" borderId="0" xfId="0" applyNumberFormat="1" applyFont="1" applyFill="1" applyAlignment="1">
      <alignment vertical="center"/>
    </xf>
    <xf numFmtId="0" fontId="31" fillId="2" borderId="0" xfId="0" applyFont="1" applyFill="1" applyAlignment="1" applyProtection="1">
      <alignment vertical="center"/>
      <protection locked="0"/>
    </xf>
    <xf numFmtId="0" fontId="9" fillId="2" borderId="13" xfId="0" applyFont="1" applyFill="1" applyBorder="1" applyAlignment="1" applyProtection="1">
      <alignment vertical="center"/>
      <protection locked="0"/>
    </xf>
    <xf numFmtId="0" fontId="32" fillId="0" borderId="0" xfId="0" applyFont="1" applyAlignment="1">
      <alignment vertical="center"/>
    </xf>
    <xf numFmtId="0" fontId="25" fillId="2" borderId="0" xfId="0" applyFont="1" applyFill="1" applyAlignment="1" applyProtection="1">
      <alignment vertical="center"/>
      <protection locked="0"/>
    </xf>
    <xf numFmtId="0" fontId="2" fillId="0" borderId="0" xfId="0" applyFont="1" applyAlignment="1">
      <alignment vertical="top"/>
    </xf>
    <xf numFmtId="0" fontId="33" fillId="0" borderId="0" xfId="0" applyFont="1"/>
    <xf numFmtId="0" fontId="34" fillId="0" borderId="0" xfId="0" applyFont="1"/>
    <xf numFmtId="0" fontId="6" fillId="5" borderId="0" xfId="0" applyFont="1" applyFill="1" applyAlignment="1" applyProtection="1">
      <alignment vertical="center"/>
      <protection locked="0"/>
    </xf>
    <xf numFmtId="0" fontId="17" fillId="5" borderId="0" xfId="0" applyFont="1" applyFill="1" applyAlignment="1" applyProtection="1">
      <alignment vertical="center"/>
      <protection locked="0"/>
    </xf>
    <xf numFmtId="167" fontId="6" fillId="5" borderId="0" xfId="0" applyNumberFormat="1" applyFont="1" applyFill="1" applyAlignment="1" applyProtection="1">
      <alignment vertical="center"/>
      <protection locked="0"/>
    </xf>
    <xf numFmtId="0" fontId="5" fillId="5" borderId="0" xfId="0" applyFont="1" applyFill="1" applyAlignment="1" applyProtection="1">
      <alignment horizontal="left" vertical="center"/>
      <protection locked="0"/>
    </xf>
    <xf numFmtId="0" fontId="5" fillId="5" borderId="0" xfId="0" applyFont="1" applyFill="1" applyAlignment="1" applyProtection="1">
      <alignment vertical="center"/>
      <protection locked="0"/>
    </xf>
    <xf numFmtId="0" fontId="0" fillId="0" borderId="4" xfId="0" applyBorder="1"/>
    <xf numFmtId="0" fontId="0" fillId="0" borderId="0" xfId="0" applyAlignment="1">
      <alignment horizontal="left"/>
    </xf>
    <xf numFmtId="0" fontId="36" fillId="0" borderId="0" xfId="0" applyFont="1" applyAlignment="1">
      <alignment horizontal="center"/>
    </xf>
    <xf numFmtId="0" fontId="36" fillId="0" borderId="0" xfId="0" applyFont="1"/>
    <xf numFmtId="0" fontId="37" fillId="0" borderId="0" xfId="0" applyFont="1"/>
    <xf numFmtId="0" fontId="38" fillId="0" borderId="0" xfId="0" applyFont="1" applyAlignment="1">
      <alignment horizontal="center"/>
    </xf>
    <xf numFmtId="0" fontId="38" fillId="0" borderId="0" xfId="0" applyFont="1"/>
    <xf numFmtId="0" fontId="39" fillId="0" borderId="0" xfId="0" applyFont="1" applyAlignment="1">
      <alignment horizontal="center"/>
    </xf>
    <xf numFmtId="0" fontId="39" fillId="0" borderId="0" xfId="0" applyFont="1"/>
    <xf numFmtId="9" fontId="36" fillId="0" borderId="0" xfId="0" applyNumberFormat="1" applyFont="1" applyAlignment="1">
      <alignment horizontal="left"/>
    </xf>
    <xf numFmtId="9" fontId="39" fillId="0" borderId="0" xfId="0" applyNumberFormat="1" applyFont="1" applyAlignment="1">
      <alignment horizontal="left"/>
    </xf>
    <xf numFmtId="177" fontId="40" fillId="2" borderId="6" xfId="0" applyNumberFormat="1" applyFont="1" applyFill="1" applyBorder="1" applyAlignment="1">
      <alignment horizontal="center" vertical="center"/>
    </xf>
    <xf numFmtId="177" fontId="40" fillId="2" borderId="8" xfId="0" applyNumberFormat="1" applyFont="1" applyFill="1" applyBorder="1" applyAlignment="1">
      <alignment horizontal="center" vertical="center"/>
    </xf>
    <xf numFmtId="167" fontId="7" fillId="2" borderId="5" xfId="0" applyNumberFormat="1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166" fontId="7" fillId="2" borderId="6" xfId="0" applyNumberFormat="1" applyFont="1" applyFill="1" applyBorder="1" applyAlignment="1">
      <alignment horizontal="center" vertical="center"/>
    </xf>
    <xf numFmtId="2" fontId="7" fillId="2" borderId="6" xfId="0" applyNumberFormat="1" applyFont="1" applyFill="1" applyBorder="1" applyAlignment="1">
      <alignment horizontal="center" vertical="center"/>
    </xf>
    <xf numFmtId="167" fontId="7" fillId="2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right"/>
    </xf>
    <xf numFmtId="0" fontId="41" fillId="0" borderId="0" xfId="0" applyFont="1" applyAlignment="1">
      <alignment horizontal="right"/>
    </xf>
    <xf numFmtId="0" fontId="41" fillId="0" borderId="0" xfId="0" applyFont="1"/>
    <xf numFmtId="0" fontId="42" fillId="0" borderId="0" xfId="0" applyFont="1" applyAlignment="1">
      <alignment horizontal="right"/>
    </xf>
    <xf numFmtId="0" fontId="42" fillId="0" borderId="0" xfId="0" applyFont="1"/>
    <xf numFmtId="0" fontId="43" fillId="0" borderId="0" xfId="0" applyFont="1" applyAlignment="1">
      <alignment vertical="top"/>
    </xf>
    <xf numFmtId="0" fontId="44" fillId="0" borderId="0" xfId="0" applyFont="1"/>
    <xf numFmtId="0" fontId="5" fillId="0" borderId="0" xfId="0" applyFont="1"/>
    <xf numFmtId="0" fontId="45" fillId="0" borderId="0" xfId="0" applyFont="1"/>
    <xf numFmtId="0" fontId="46" fillId="0" borderId="0" xfId="0" applyFont="1"/>
    <xf numFmtId="0" fontId="48" fillId="11" borderId="0" xfId="0" applyFont="1" applyFill="1"/>
    <xf numFmtId="0" fontId="46" fillId="12" borderId="0" xfId="0" applyFont="1" applyFill="1"/>
    <xf numFmtId="0" fontId="0" fillId="0" borderId="3" xfId="0" applyBorder="1"/>
    <xf numFmtId="0" fontId="32" fillId="0" borderId="6" xfId="0" applyFont="1" applyBorder="1" applyAlignment="1">
      <alignment vertical="center"/>
    </xf>
    <xf numFmtId="0" fontId="0" fillId="0" borderId="7" xfId="0" applyBorder="1"/>
    <xf numFmtId="0" fontId="0" fillId="0" borderId="10" xfId="0" applyBorder="1"/>
    <xf numFmtId="0" fontId="32" fillId="0" borderId="0" xfId="0" applyFont="1"/>
    <xf numFmtId="0" fontId="49" fillId="0" borderId="0" xfId="0" applyFont="1"/>
    <xf numFmtId="0" fontId="49" fillId="0" borderId="0" xfId="0" applyFont="1" applyAlignment="1">
      <alignment vertical="top"/>
    </xf>
    <xf numFmtId="0" fontId="50" fillId="0" borderId="0" xfId="0" applyFont="1"/>
    <xf numFmtId="0" fontId="4" fillId="4" borderId="0" xfId="0" applyFont="1" applyFill="1"/>
    <xf numFmtId="0" fontId="3" fillId="4" borderId="0" xfId="0" applyFont="1" applyFill="1"/>
    <xf numFmtId="0" fontId="7" fillId="4" borderId="0" xfId="0" applyFont="1" applyFill="1" applyAlignment="1" applyProtection="1">
      <alignment vertical="center"/>
      <protection locked="0"/>
    </xf>
    <xf numFmtId="0" fontId="51" fillId="0" borderId="0" xfId="0" applyFont="1"/>
    <xf numFmtId="0" fontId="52" fillId="0" borderId="0" xfId="0" applyFont="1" applyAlignment="1">
      <alignment vertical="top"/>
    </xf>
    <xf numFmtId="3" fontId="7" fillId="2" borderId="0" xfId="0" applyNumberFormat="1" applyFont="1" applyFill="1" applyAlignment="1">
      <alignment horizontal="center" vertical="center"/>
    </xf>
    <xf numFmtId="3" fontId="7" fillId="4" borderId="7" xfId="0" applyNumberFormat="1" applyFont="1" applyFill="1" applyBorder="1" applyAlignment="1">
      <alignment horizontal="center" vertical="center"/>
    </xf>
    <xf numFmtId="166" fontId="7" fillId="3" borderId="6" xfId="0" applyNumberFormat="1" applyFont="1" applyFill="1" applyBorder="1" applyAlignment="1" applyProtection="1">
      <alignment horizontal="center" vertical="center"/>
      <protection locked="0"/>
    </xf>
    <xf numFmtId="166" fontId="7" fillId="4" borderId="6" xfId="0" applyNumberFormat="1" applyFont="1" applyFill="1" applyBorder="1" applyAlignment="1">
      <alignment horizontal="center" vertical="center"/>
    </xf>
    <xf numFmtId="3" fontId="7" fillId="4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25" fillId="13" borderId="2" xfId="0" applyFont="1" applyFill="1" applyBorder="1" applyAlignment="1">
      <alignment horizontal="center"/>
    </xf>
    <xf numFmtId="0" fontId="25" fillId="13" borderId="2" xfId="0" applyFont="1" applyFill="1" applyBorder="1" applyAlignment="1">
      <alignment horizontal="centerContinuous"/>
    </xf>
    <xf numFmtId="0" fontId="25" fillId="13" borderId="3" xfId="0" applyFont="1" applyFill="1" applyBorder="1" applyAlignment="1">
      <alignment horizontal="centerContinuous"/>
    </xf>
    <xf numFmtId="0" fontId="25" fillId="13" borderId="4" xfId="0" applyFont="1" applyFill="1" applyBorder="1" applyAlignment="1">
      <alignment horizontal="centerContinuous"/>
    </xf>
    <xf numFmtId="0" fontId="25" fillId="13" borderId="2" xfId="0" applyFont="1" applyFill="1" applyBorder="1" applyAlignment="1">
      <alignment horizontal="center" vertical="center"/>
    </xf>
    <xf numFmtId="0" fontId="25" fillId="13" borderId="2" xfId="0" applyFont="1" applyFill="1" applyBorder="1" applyAlignment="1">
      <alignment horizontal="centerContinuous" vertical="center"/>
    </xf>
    <xf numFmtId="0" fontId="25" fillId="13" borderId="3" xfId="0" applyFont="1" applyFill="1" applyBorder="1" applyAlignment="1">
      <alignment horizontal="centerContinuous" vertical="center"/>
    </xf>
    <xf numFmtId="0" fontId="25" fillId="13" borderId="4" xfId="0" applyFont="1" applyFill="1" applyBorder="1" applyAlignment="1">
      <alignment horizontal="centerContinuous" vertical="center"/>
    </xf>
    <xf numFmtId="0" fontId="54" fillId="0" borderId="6" xfId="0" applyFont="1" applyBorder="1"/>
    <xf numFmtId="0" fontId="3" fillId="0" borderId="7" xfId="0" applyFont="1" applyBorder="1"/>
    <xf numFmtId="0" fontId="45" fillId="0" borderId="6" xfId="0" applyFont="1" applyBorder="1"/>
    <xf numFmtId="167" fontId="54" fillId="0" borderId="6" xfId="0" applyNumberFormat="1" applyFont="1" applyBorder="1"/>
    <xf numFmtId="0" fontId="55" fillId="0" borderId="0" xfId="0" applyFont="1"/>
    <xf numFmtId="0" fontId="0" fillId="0" borderId="6" xfId="0" applyBorder="1"/>
    <xf numFmtId="0" fontId="56" fillId="0" borderId="0" xfId="0" applyFont="1"/>
    <xf numFmtId="0" fontId="54" fillId="0" borderId="6" xfId="0" applyFont="1" applyBorder="1" applyAlignment="1">
      <alignment horizontal="right"/>
    </xf>
    <xf numFmtId="179" fontId="54" fillId="0" borderId="0" xfId="0" applyNumberFormat="1" applyFont="1" applyAlignment="1">
      <alignment horizontal="center"/>
    </xf>
    <xf numFmtId="169" fontId="54" fillId="0" borderId="0" xfId="0" applyNumberFormat="1" applyFont="1" applyAlignment="1">
      <alignment horizontal="center"/>
    </xf>
    <xf numFmtId="169" fontId="54" fillId="0" borderId="0" xfId="0" applyNumberFormat="1" applyFont="1"/>
    <xf numFmtId="0" fontId="0" fillId="0" borderId="8" xfId="0" applyBorder="1"/>
    <xf numFmtId="0" fontId="0" fillId="0" borderId="9" xfId="0" applyBorder="1"/>
    <xf numFmtId="0" fontId="0" fillId="0" borderId="2" xfId="0" applyBorder="1"/>
    <xf numFmtId="0" fontId="45" fillId="0" borderId="7" xfId="0" applyFont="1" applyBorder="1"/>
    <xf numFmtId="0" fontId="54" fillId="0" borderId="0" xfId="0" applyFont="1" applyAlignment="1">
      <alignment horizontal="center"/>
    </xf>
    <xf numFmtId="0" fontId="54" fillId="0" borderId="0" xfId="0" applyFont="1"/>
    <xf numFmtId="0" fontId="54" fillId="0" borderId="0" xfId="0" applyFont="1" applyAlignment="1">
      <alignment horizontal="left"/>
    </xf>
    <xf numFmtId="167" fontId="54" fillId="0" borderId="0" xfId="0" applyNumberFormat="1" applyFont="1" applyAlignment="1">
      <alignment horizontal="right"/>
    </xf>
    <xf numFmtId="0" fontId="54" fillId="0" borderId="0" xfId="0" applyFont="1" applyAlignment="1">
      <alignment horizontal="right"/>
    </xf>
    <xf numFmtId="0" fontId="50" fillId="0" borderId="6" xfId="0" applyFont="1" applyBorder="1" applyAlignment="1">
      <alignment vertical="center"/>
    </xf>
    <xf numFmtId="167" fontId="45" fillId="0" borderId="0" xfId="0" applyNumberFormat="1" applyFont="1"/>
    <xf numFmtId="167" fontId="0" fillId="0" borderId="9" xfId="0" applyNumberFormat="1" applyBorder="1"/>
    <xf numFmtId="0" fontId="14" fillId="2" borderId="6" xfId="0" applyFont="1" applyFill="1" applyBorder="1" applyAlignment="1" applyProtection="1">
      <alignment horizontal="center"/>
      <protection locked="0"/>
    </xf>
    <xf numFmtId="0" fontId="18" fillId="2" borderId="0" xfId="0" applyFont="1" applyFill="1" applyAlignment="1" applyProtection="1">
      <alignment horizontal="center"/>
      <protection locked="0"/>
    </xf>
    <xf numFmtId="0" fontId="24" fillId="2" borderId="0" xfId="0" applyFont="1" applyFill="1" applyProtection="1">
      <protection locked="0"/>
    </xf>
    <xf numFmtId="0" fontId="24" fillId="2" borderId="7" xfId="0" applyFont="1" applyFill="1" applyBorder="1" applyProtection="1">
      <protection locked="0"/>
    </xf>
    <xf numFmtId="0" fontId="12" fillId="2" borderId="6" xfId="0" applyFont="1" applyFill="1" applyBorder="1"/>
    <xf numFmtId="2" fontId="11" fillId="2" borderId="5" xfId="0" applyNumberFormat="1" applyFont="1" applyFill="1" applyBorder="1" applyAlignment="1">
      <alignment horizontal="center"/>
    </xf>
    <xf numFmtId="3" fontId="12" fillId="2" borderId="0" xfId="0" applyNumberFormat="1" applyFont="1" applyFill="1" applyAlignment="1">
      <alignment horizontal="center"/>
    </xf>
    <xf numFmtId="3" fontId="12" fillId="2" borderId="5" xfId="0" applyNumberFormat="1" applyFont="1" applyFill="1" applyBorder="1" applyAlignment="1">
      <alignment horizontal="center"/>
    </xf>
    <xf numFmtId="3" fontId="12" fillId="2" borderId="7" xfId="0" applyNumberFormat="1" applyFont="1" applyFill="1" applyBorder="1" applyAlignment="1">
      <alignment horizontal="center"/>
    </xf>
    <xf numFmtId="2" fontId="12" fillId="2" borderId="6" xfId="0" applyNumberFormat="1" applyFont="1" applyFill="1" applyBorder="1" applyAlignment="1">
      <alignment horizontal="center"/>
    </xf>
    <xf numFmtId="2" fontId="12" fillId="2" borderId="0" xfId="0" applyNumberFormat="1" applyFont="1" applyFill="1"/>
    <xf numFmtId="3" fontId="24" fillId="2" borderId="0" xfId="0" applyNumberFormat="1" applyFont="1" applyFill="1"/>
    <xf numFmtId="3" fontId="24" fillId="2" borderId="7" xfId="0" applyNumberFormat="1" applyFont="1" applyFill="1" applyBorder="1"/>
    <xf numFmtId="174" fontId="5" fillId="2" borderId="6" xfId="0" applyNumberFormat="1" applyFont="1" applyFill="1" applyBorder="1" applyAlignment="1">
      <alignment horizontal="center" vertical="center"/>
    </xf>
    <xf numFmtId="174" fontId="5" fillId="5" borderId="13" xfId="0" applyNumberFormat="1" applyFont="1" applyFill="1" applyBorder="1" applyAlignment="1">
      <alignment horizontal="center" vertical="center"/>
    </xf>
    <xf numFmtId="3" fontId="12" fillId="5" borderId="13" xfId="0" applyNumberFormat="1" applyFont="1" applyFill="1" applyBorder="1" applyAlignment="1">
      <alignment horizontal="center"/>
    </xf>
    <xf numFmtId="177" fontId="40" fillId="5" borderId="13" xfId="0" applyNumberFormat="1" applyFont="1" applyFill="1" applyBorder="1" applyAlignment="1">
      <alignment horizontal="center" vertical="center"/>
    </xf>
    <xf numFmtId="2" fontId="12" fillId="5" borderId="13" xfId="0" applyNumberFormat="1" applyFont="1" applyFill="1" applyBorder="1" applyAlignment="1">
      <alignment horizontal="center"/>
    </xf>
    <xf numFmtId="2" fontId="12" fillId="5" borderId="13" xfId="0" applyNumberFormat="1" applyFont="1" applyFill="1" applyBorder="1"/>
    <xf numFmtId="3" fontId="24" fillId="5" borderId="13" xfId="0" applyNumberFormat="1" applyFont="1" applyFill="1" applyBorder="1"/>
    <xf numFmtId="0" fontId="18" fillId="5" borderId="13" xfId="0" applyFont="1" applyFill="1" applyBorder="1" applyAlignment="1" applyProtection="1">
      <alignment horizontal="center"/>
      <protection locked="0"/>
    </xf>
    <xf numFmtId="0" fontId="12" fillId="5" borderId="13" xfId="0" applyFont="1" applyFill="1" applyBorder="1" applyProtection="1">
      <protection locked="0"/>
    </xf>
    <xf numFmtId="0" fontId="32" fillId="0" borderId="13" xfId="0" applyFont="1" applyBorder="1" applyAlignment="1">
      <alignment vertical="center"/>
    </xf>
    <xf numFmtId="0" fontId="12" fillId="5" borderId="15" xfId="0" applyFont="1" applyFill="1" applyBorder="1" applyProtection="1">
      <protection locked="0"/>
    </xf>
    <xf numFmtId="0" fontId="12" fillId="5" borderId="12" xfId="0" applyFont="1" applyFill="1" applyBorder="1" applyAlignment="1" applyProtection="1">
      <alignment horizontal="center"/>
      <protection locked="0"/>
    </xf>
    <xf numFmtId="0" fontId="18" fillId="5" borderId="14" xfId="0" applyFont="1" applyFill="1" applyBorder="1" applyAlignment="1" applyProtection="1">
      <alignment horizontal="center"/>
      <protection locked="0"/>
    </xf>
    <xf numFmtId="0" fontId="12" fillId="5" borderId="12" xfId="0" applyFont="1" applyFill="1" applyBorder="1" applyProtection="1">
      <protection locked="0"/>
    </xf>
    <xf numFmtId="2" fontId="11" fillId="5" borderId="15" xfId="0" applyNumberFormat="1" applyFont="1" applyFill="1" applyBorder="1" applyAlignment="1">
      <alignment horizontal="center"/>
    </xf>
    <xf numFmtId="174" fontId="5" fillId="5" borderId="12" xfId="0" applyNumberFormat="1" applyFont="1" applyFill="1" applyBorder="1" applyAlignment="1">
      <alignment horizontal="center" vertical="center"/>
    </xf>
    <xf numFmtId="3" fontId="12" fillId="5" borderId="14" xfId="0" applyNumberFormat="1" applyFont="1" applyFill="1" applyBorder="1" applyAlignment="1">
      <alignment horizontal="center"/>
    </xf>
    <xf numFmtId="3" fontId="12" fillId="5" borderId="15" xfId="0" applyNumberFormat="1" applyFont="1" applyFill="1" applyBorder="1" applyAlignment="1">
      <alignment horizontal="center"/>
    </xf>
    <xf numFmtId="177" fontId="40" fillId="5" borderId="12" xfId="0" applyNumberFormat="1" applyFont="1" applyFill="1" applyBorder="1" applyAlignment="1">
      <alignment horizontal="center" vertical="center"/>
    </xf>
    <xf numFmtId="0" fontId="3" fillId="0" borderId="15" xfId="0" applyFont="1" applyBorder="1"/>
    <xf numFmtId="0" fontId="3" fillId="0" borderId="12" xfId="0" applyFont="1" applyBorder="1"/>
    <xf numFmtId="0" fontId="3" fillId="0" borderId="14" xfId="0" applyFont="1" applyBorder="1"/>
    <xf numFmtId="166" fontId="12" fillId="5" borderId="12" xfId="0" applyNumberFormat="1" applyFont="1" applyFill="1" applyBorder="1" applyAlignment="1">
      <alignment horizontal="center"/>
    </xf>
    <xf numFmtId="0" fontId="12" fillId="2" borderId="0" xfId="0" applyFont="1" applyFill="1" applyAlignment="1" applyProtection="1">
      <alignment horizontal="center"/>
      <protection locked="0"/>
    </xf>
    <xf numFmtId="2" fontId="12" fillId="5" borderId="12" xfId="0" applyNumberFormat="1" applyFont="1" applyFill="1" applyBorder="1" applyAlignment="1">
      <alignment horizontal="center"/>
    </xf>
    <xf numFmtId="0" fontId="4" fillId="4" borderId="0" xfId="0" applyFont="1" applyFill="1" applyAlignment="1">
      <alignment vertical="center"/>
    </xf>
    <xf numFmtId="164" fontId="25" fillId="0" borderId="0" xfId="0" applyNumberFormat="1" applyFont="1"/>
    <xf numFmtId="165" fontId="25" fillId="0" borderId="0" xfId="0" applyNumberFormat="1" applyFont="1"/>
    <xf numFmtId="178" fontId="25" fillId="0" borderId="0" xfId="0" applyNumberFormat="1" applyFont="1"/>
    <xf numFmtId="0" fontId="57" fillId="0" borderId="0" xfId="0" applyFont="1" applyAlignment="1">
      <alignment vertical="top"/>
    </xf>
    <xf numFmtId="0" fontId="58" fillId="0" borderId="0" xfId="0" applyFont="1"/>
    <xf numFmtId="3" fontId="9" fillId="4" borderId="7" xfId="0" applyNumberFormat="1" applyFont="1" applyFill="1" applyBorder="1" applyAlignment="1">
      <alignment horizontal="center" vertical="center"/>
    </xf>
    <xf numFmtId="166" fontId="9" fillId="2" borderId="6" xfId="0" applyNumberFormat="1" applyFont="1" applyFill="1" applyBorder="1" applyAlignment="1">
      <alignment horizontal="center" vertical="center"/>
    </xf>
    <xf numFmtId="166" fontId="9" fillId="2" borderId="8" xfId="0" applyNumberFormat="1" applyFont="1" applyFill="1" applyBorder="1" applyAlignment="1">
      <alignment horizontal="center" vertical="center"/>
    </xf>
    <xf numFmtId="167" fontId="0" fillId="0" borderId="0" xfId="0" applyNumberFormat="1"/>
    <xf numFmtId="0" fontId="60" fillId="0" borderId="0" xfId="0" applyFont="1"/>
    <xf numFmtId="169" fontId="59" fillId="0" borderId="0" xfId="0" applyNumberFormat="1" applyFont="1" applyAlignment="1">
      <alignment horizontal="left"/>
    </xf>
    <xf numFmtId="0" fontId="60" fillId="0" borderId="0" xfId="0" applyFont="1" applyAlignment="1">
      <alignment horizontal="left"/>
    </xf>
    <xf numFmtId="0" fontId="60" fillId="0" borderId="0" xfId="0" applyFont="1" applyAlignment="1">
      <alignment horizontal="center"/>
    </xf>
    <xf numFmtId="169" fontId="39" fillId="0" borderId="0" xfId="0" applyNumberFormat="1" applyFont="1" applyAlignment="1">
      <alignment horizontal="left"/>
    </xf>
    <xf numFmtId="2" fontId="7" fillId="2" borderId="0" xfId="0" applyNumberFormat="1" applyFont="1" applyFill="1" applyAlignment="1">
      <alignment horizontal="center"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vertical="center"/>
    </xf>
    <xf numFmtId="2" fontId="0" fillId="0" borderId="0" xfId="0" applyNumberFormat="1"/>
    <xf numFmtId="0" fontId="37" fillId="0" borderId="0" xfId="0" applyFont="1" applyAlignment="1">
      <alignment horizontal="center"/>
    </xf>
    <xf numFmtId="0" fontId="48" fillId="14" borderId="0" xfId="0" applyFont="1" applyFill="1"/>
    <xf numFmtId="0" fontId="59" fillId="0" borderId="0" xfId="0" applyFont="1" applyAlignment="1">
      <alignment horizontal="left"/>
    </xf>
    <xf numFmtId="0" fontId="59" fillId="0" borderId="0" xfId="0" applyFont="1" applyAlignment="1">
      <alignment horizontal="center"/>
    </xf>
    <xf numFmtId="0" fontId="59" fillId="0" borderId="0" xfId="0" applyFont="1"/>
    <xf numFmtId="0" fontId="66" fillId="0" borderId="0" xfId="0" applyFont="1" applyAlignment="1">
      <alignment horizontal="left"/>
    </xf>
    <xf numFmtId="0" fontId="35" fillId="0" borderId="0" xfId="0" applyFont="1" applyAlignment="1">
      <alignment horizontal="left"/>
    </xf>
    <xf numFmtId="3" fontId="40" fillId="2" borderId="7" xfId="0" applyNumberFormat="1" applyFont="1" applyFill="1" applyBorder="1" applyAlignment="1">
      <alignment horizontal="left"/>
    </xf>
  </cellXfs>
  <cellStyles count="2">
    <cellStyle name="Normal" xfId="0" builtinId="0"/>
    <cellStyle name="Normal 2" xfId="1" xr:uid="{BB70982E-F687-4B67-B389-AE259DD2BCF6}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4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customXml" Target="../ink/ink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127000</xdr:colOff>
      <xdr:row>17</xdr:row>
      <xdr:rowOff>59266</xdr:rowOff>
    </xdr:from>
    <xdr:to>
      <xdr:col>7</xdr:col>
      <xdr:colOff>924982</xdr:colOff>
      <xdr:row>43</xdr:row>
      <xdr:rowOff>93137</xdr:rowOff>
    </xdr:to>
    <xdr:grpSp>
      <xdr:nvGrpSpPr>
        <xdr:cNvPr id="15" name="Groupe 14">
          <a:extLst>
            <a:ext uri="{FF2B5EF4-FFF2-40B4-BE49-F238E27FC236}">
              <a16:creationId xmlns:a16="http://schemas.microsoft.com/office/drawing/2014/main" id="{45E40397-2477-D66D-DB5F-758B49E0A146}"/>
            </a:ext>
          </a:extLst>
        </xdr:cNvPr>
        <xdr:cNvGrpSpPr/>
      </xdr:nvGrpSpPr>
      <xdr:grpSpPr>
        <a:xfrm>
          <a:off x="875145" y="3612957"/>
          <a:ext cx="5536237" cy="5257035"/>
          <a:chOff x="231099" y="1479001"/>
          <a:chExt cx="10168415" cy="6971583"/>
        </a:xfrm>
      </xdr:grpSpPr>
      <xdr:pic>
        <xdr:nvPicPr>
          <xdr:cNvPr id="24" name="Image 23">
            <a:extLst>
              <a:ext uri="{FF2B5EF4-FFF2-40B4-BE49-F238E27FC236}">
                <a16:creationId xmlns:a16="http://schemas.microsoft.com/office/drawing/2014/main" id="{01DBF809-9661-4AEB-0F97-8678569642C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17908" t="16675" r="33430" b="13208"/>
          <a:stretch/>
        </xdr:blipFill>
        <xdr:spPr>
          <a:xfrm>
            <a:off x="231099" y="1479001"/>
            <a:ext cx="10168415" cy="6707683"/>
          </a:xfrm>
          <a:prstGeom prst="rect">
            <a:avLst/>
          </a:prstGeom>
        </xdr:spPr>
      </xdr:pic>
      <xdr:sp macro="" textlink="">
        <xdr:nvSpPr>
          <xdr:cNvPr id="25" name="Rectangle 24">
            <a:extLst>
              <a:ext uri="{FF2B5EF4-FFF2-40B4-BE49-F238E27FC236}">
                <a16:creationId xmlns:a16="http://schemas.microsoft.com/office/drawing/2014/main" id="{B616AD06-5D1B-EB3B-F7DC-8D18842D36BA}"/>
              </a:ext>
            </a:extLst>
          </xdr:cNvPr>
          <xdr:cNvSpPr/>
        </xdr:nvSpPr>
        <xdr:spPr>
          <a:xfrm>
            <a:off x="5587152" y="6774830"/>
            <a:ext cx="4453347" cy="167575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</xdr:col>
      <xdr:colOff>35138</xdr:colOff>
      <xdr:row>156</xdr:row>
      <xdr:rowOff>87631</xdr:rowOff>
    </xdr:from>
    <xdr:to>
      <xdr:col>7</xdr:col>
      <xdr:colOff>1008960</xdr:colOff>
      <xdr:row>183</xdr:row>
      <xdr:rowOff>11431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EA0B7292-5B23-4C50-896F-4CBDD6246B9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0963" t="25114" r="25449" b="19915"/>
        <a:stretch/>
      </xdr:blipFill>
      <xdr:spPr>
        <a:xfrm>
          <a:off x="780205" y="30423698"/>
          <a:ext cx="5749022" cy="5181599"/>
        </a:xfrm>
        <a:prstGeom prst="rect">
          <a:avLst/>
        </a:prstGeom>
      </xdr:spPr>
    </xdr:pic>
    <xdr:clientData/>
  </xdr:twoCellAnchor>
  <xdr:twoCellAnchor editAs="oneCell">
    <xdr:from>
      <xdr:col>1</xdr:col>
      <xdr:colOff>53055</xdr:colOff>
      <xdr:row>189</xdr:row>
      <xdr:rowOff>34291</xdr:rowOff>
    </xdr:from>
    <xdr:to>
      <xdr:col>7</xdr:col>
      <xdr:colOff>984656</xdr:colOff>
      <xdr:row>212</xdr:row>
      <xdr:rowOff>42333</xdr:rowOff>
    </xdr:to>
    <xdr:pic>
      <xdr:nvPicPr>
        <xdr:cNvPr id="38" name="Image 37">
          <a:extLst>
            <a:ext uri="{FF2B5EF4-FFF2-40B4-BE49-F238E27FC236}">
              <a16:creationId xmlns:a16="http://schemas.microsoft.com/office/drawing/2014/main" id="{C13086B4-74BD-4743-8198-17B71CDB351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4963" t="20225" r="18740" b="13693"/>
        <a:stretch/>
      </xdr:blipFill>
      <xdr:spPr>
        <a:xfrm>
          <a:off x="213922" y="36796558"/>
          <a:ext cx="5706801" cy="4486909"/>
        </a:xfrm>
        <a:prstGeom prst="rect">
          <a:avLst/>
        </a:prstGeom>
      </xdr:spPr>
    </xdr:pic>
    <xdr:clientData/>
  </xdr:twoCellAnchor>
  <xdr:twoCellAnchor editAs="oneCell">
    <xdr:from>
      <xdr:col>1</xdr:col>
      <xdr:colOff>28173</xdr:colOff>
      <xdr:row>239</xdr:row>
      <xdr:rowOff>152400</xdr:rowOff>
    </xdr:from>
    <xdr:to>
      <xdr:col>7</xdr:col>
      <xdr:colOff>1029547</xdr:colOff>
      <xdr:row>265</xdr:row>
      <xdr:rowOff>126999</xdr:rowOff>
    </xdr:to>
    <xdr:pic>
      <xdr:nvPicPr>
        <xdr:cNvPr id="39" name="Image 38">
          <a:extLst>
            <a:ext uri="{FF2B5EF4-FFF2-40B4-BE49-F238E27FC236}">
              <a16:creationId xmlns:a16="http://schemas.microsoft.com/office/drawing/2014/main" id="{498F20C2-E52D-418B-BE36-C38AFF2802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31754" t="8224" r="16822" b="10360"/>
        <a:stretch/>
      </xdr:blipFill>
      <xdr:spPr>
        <a:xfrm>
          <a:off x="189040" y="46651333"/>
          <a:ext cx="5776574" cy="5037667"/>
        </a:xfrm>
        <a:prstGeom prst="rect">
          <a:avLst/>
        </a:prstGeom>
      </xdr:spPr>
    </xdr:pic>
    <xdr:clientData/>
  </xdr:twoCellAnchor>
  <xdr:twoCellAnchor editAs="oneCell">
    <xdr:from>
      <xdr:col>1</xdr:col>
      <xdr:colOff>42333</xdr:colOff>
      <xdr:row>215</xdr:row>
      <xdr:rowOff>24019</xdr:rowOff>
    </xdr:from>
    <xdr:to>
      <xdr:col>7</xdr:col>
      <xdr:colOff>1021080</xdr:colOff>
      <xdr:row>229</xdr:row>
      <xdr:rowOff>167044</xdr:rowOff>
    </xdr:to>
    <xdr:pic>
      <xdr:nvPicPr>
        <xdr:cNvPr id="43" name="Image 42">
          <a:extLst>
            <a:ext uri="{FF2B5EF4-FFF2-40B4-BE49-F238E27FC236}">
              <a16:creationId xmlns:a16="http://schemas.microsoft.com/office/drawing/2014/main" id="{B7FB0B1E-48C0-4F63-ACA3-902D6010A0C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30788" t="56042" r="36561" b="14848"/>
        <a:stretch/>
      </xdr:blipFill>
      <xdr:spPr>
        <a:xfrm>
          <a:off x="203200" y="41849352"/>
          <a:ext cx="5753947" cy="2869293"/>
        </a:xfrm>
        <a:prstGeom prst="rect">
          <a:avLst/>
        </a:prstGeom>
      </xdr:spPr>
    </xdr:pic>
    <xdr:clientData/>
  </xdr:twoCellAnchor>
  <xdr:twoCellAnchor editAs="oneCell">
    <xdr:from>
      <xdr:col>1</xdr:col>
      <xdr:colOff>84666</xdr:colOff>
      <xdr:row>47</xdr:row>
      <xdr:rowOff>156210</xdr:rowOff>
    </xdr:from>
    <xdr:to>
      <xdr:col>7</xdr:col>
      <xdr:colOff>930910</xdr:colOff>
      <xdr:row>64</xdr:row>
      <xdr:rowOff>177719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50604AD-1AC8-E668-01C9-1A8A5A3D1F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13376" t="20003" r="39534" b="29325"/>
        <a:stretch/>
      </xdr:blipFill>
      <xdr:spPr>
        <a:xfrm>
          <a:off x="245533" y="9461077"/>
          <a:ext cx="5621444" cy="3331975"/>
        </a:xfrm>
        <a:prstGeom prst="rect">
          <a:avLst/>
        </a:prstGeom>
      </xdr:spPr>
    </xdr:pic>
    <xdr:clientData/>
  </xdr:twoCellAnchor>
  <xdr:twoCellAnchor editAs="oneCell">
    <xdr:from>
      <xdr:col>2</xdr:col>
      <xdr:colOff>238760</xdr:colOff>
      <xdr:row>66</xdr:row>
      <xdr:rowOff>35560</xdr:rowOff>
    </xdr:from>
    <xdr:to>
      <xdr:col>6</xdr:col>
      <xdr:colOff>672504</xdr:colOff>
      <xdr:row>90</xdr:row>
      <xdr:rowOff>171450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903FDE5C-967F-4162-8A1A-CB0B78D38D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46672" t="10741" r="25199" b="20361"/>
        <a:stretch/>
      </xdr:blipFill>
      <xdr:spPr>
        <a:xfrm>
          <a:off x="1191260" y="13180060"/>
          <a:ext cx="3608744" cy="4860290"/>
        </a:xfrm>
        <a:prstGeom prst="rect">
          <a:avLst/>
        </a:prstGeom>
      </xdr:spPr>
    </xdr:pic>
    <xdr:clientData/>
  </xdr:twoCellAnchor>
  <xdr:twoCellAnchor editAs="oneCell">
    <xdr:from>
      <xdr:col>1</xdr:col>
      <xdr:colOff>14204</xdr:colOff>
      <xdr:row>281</xdr:row>
      <xdr:rowOff>27163</xdr:rowOff>
    </xdr:from>
    <xdr:to>
      <xdr:col>7</xdr:col>
      <xdr:colOff>1013461</xdr:colOff>
      <xdr:row>307</xdr:row>
      <xdr:rowOff>186266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1209F819-4192-07E0-AF61-B6E5C57F88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27962" t="21558" r="28616" b="7174"/>
        <a:stretch/>
      </xdr:blipFill>
      <xdr:spPr>
        <a:xfrm>
          <a:off x="175071" y="54704896"/>
          <a:ext cx="5774457" cy="5222171"/>
        </a:xfrm>
        <a:prstGeom prst="rect">
          <a:avLst/>
        </a:prstGeom>
      </xdr:spPr>
    </xdr:pic>
    <xdr:clientData/>
  </xdr:twoCellAnchor>
  <xdr:twoCellAnchor editAs="oneCell">
    <xdr:from>
      <xdr:col>1</xdr:col>
      <xdr:colOff>42332</xdr:colOff>
      <xdr:row>308</xdr:row>
      <xdr:rowOff>81279</xdr:rowOff>
    </xdr:from>
    <xdr:to>
      <xdr:col>7</xdr:col>
      <xdr:colOff>1006752</xdr:colOff>
      <xdr:row>323</xdr:row>
      <xdr:rowOff>87544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A268727B-FF23-785A-6ED2-BE4D6BE2BC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l="28754" t="11705" r="27491" b="47772"/>
        <a:stretch/>
      </xdr:blipFill>
      <xdr:spPr>
        <a:xfrm>
          <a:off x="203199" y="60016812"/>
          <a:ext cx="5739620" cy="2927264"/>
        </a:xfrm>
        <a:prstGeom prst="rect">
          <a:avLst/>
        </a:prstGeom>
      </xdr:spPr>
    </xdr:pic>
    <xdr:clientData/>
  </xdr:twoCellAnchor>
  <xdr:twoCellAnchor editAs="oneCell">
    <xdr:from>
      <xdr:col>1</xdr:col>
      <xdr:colOff>42333</xdr:colOff>
      <xdr:row>325</xdr:row>
      <xdr:rowOff>108793</xdr:rowOff>
    </xdr:from>
    <xdr:to>
      <xdr:col>7</xdr:col>
      <xdr:colOff>1012613</xdr:colOff>
      <xdr:row>335</xdr:row>
      <xdr:rowOff>192350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3F6EEA39-D2B5-79B7-AF21-D8EF360FA4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28462" t="44005" r="28325" b="28287"/>
        <a:stretch/>
      </xdr:blipFill>
      <xdr:spPr>
        <a:xfrm>
          <a:off x="203200" y="63354793"/>
          <a:ext cx="5745480" cy="2030890"/>
        </a:xfrm>
        <a:prstGeom prst="rect">
          <a:avLst/>
        </a:prstGeom>
      </xdr:spPr>
    </xdr:pic>
    <xdr:clientData/>
  </xdr:twoCellAnchor>
  <xdr:twoCellAnchor editAs="oneCell">
    <xdr:from>
      <xdr:col>1</xdr:col>
      <xdr:colOff>61383</xdr:colOff>
      <xdr:row>338</xdr:row>
      <xdr:rowOff>176459</xdr:rowOff>
    </xdr:from>
    <xdr:to>
      <xdr:col>7</xdr:col>
      <xdr:colOff>876300</xdr:colOff>
      <xdr:row>341</xdr:row>
      <xdr:rowOff>126877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AA089A88-BE3B-9024-53B7-183AAA5D4A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22250" y="65953992"/>
          <a:ext cx="5590117" cy="534619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>
          <a:solidFill>
            <a:schemeClr val="accent1"/>
          </a:solidFill>
        </a:ln>
      </xdr:spPr>
    </xdr:pic>
    <xdr:clientData/>
  </xdr:twoCellAnchor>
  <xdr:twoCellAnchor editAs="oneCell">
    <xdr:from>
      <xdr:col>1</xdr:col>
      <xdr:colOff>61733</xdr:colOff>
      <xdr:row>343</xdr:row>
      <xdr:rowOff>167219</xdr:rowOff>
    </xdr:from>
    <xdr:to>
      <xdr:col>7</xdr:col>
      <xdr:colOff>1015985</xdr:colOff>
      <xdr:row>365</xdr:row>
      <xdr:rowOff>8468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2BF5914B-B1BF-FA43-226A-784A84473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22600" y="66918419"/>
          <a:ext cx="5729452" cy="4125382"/>
        </a:xfrm>
        <a:prstGeom prst="rect">
          <a:avLst/>
        </a:prstGeom>
      </xdr:spPr>
    </xdr:pic>
    <xdr:clientData/>
  </xdr:twoCellAnchor>
  <xdr:twoCellAnchor editAs="oneCell">
    <xdr:from>
      <xdr:col>1</xdr:col>
      <xdr:colOff>287866</xdr:colOff>
      <xdr:row>374</xdr:row>
      <xdr:rowOff>119052</xdr:rowOff>
    </xdr:from>
    <xdr:to>
      <xdr:col>7</xdr:col>
      <xdr:colOff>656166</xdr:colOff>
      <xdr:row>394</xdr:row>
      <xdr:rowOff>124278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90263D5F-12A4-E9F7-E795-253585A13B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/>
        <a:srcRect l="57264" t="43524" r="18601" b="23509"/>
        <a:stretch/>
      </xdr:blipFill>
      <xdr:spPr>
        <a:xfrm>
          <a:off x="448733" y="72906985"/>
          <a:ext cx="5143500" cy="3899893"/>
        </a:xfrm>
        <a:prstGeom prst="rect">
          <a:avLst/>
        </a:prstGeom>
      </xdr:spPr>
    </xdr:pic>
    <xdr:clientData/>
  </xdr:twoCellAnchor>
  <xdr:twoCellAnchor editAs="oneCell">
    <xdr:from>
      <xdr:col>1</xdr:col>
      <xdr:colOff>56890</xdr:colOff>
      <xdr:row>115</xdr:row>
      <xdr:rowOff>88380</xdr:rowOff>
    </xdr:from>
    <xdr:to>
      <xdr:col>4</xdr:col>
      <xdr:colOff>143080</xdr:colOff>
      <xdr:row>115</xdr:row>
      <xdr:rowOff>101700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">
          <xdr14:nvContentPartPr>
            <xdr14:cNvPr id="10" name="Encre 9">
              <a:extLst>
                <a:ext uri="{FF2B5EF4-FFF2-40B4-BE49-F238E27FC236}">
                  <a16:creationId xmlns:a16="http://schemas.microsoft.com/office/drawing/2014/main" id="{119081EE-1FED-7DD8-EBAF-24944B69D454}"/>
                </a:ext>
              </a:extLst>
            </xdr14:cNvPr>
            <xdr14:cNvContentPartPr/>
          </xdr14:nvContentPartPr>
          <xdr14:nvPr macro=""/>
          <xdr14:xfrm>
            <a:off x="215640" y="22541980"/>
            <a:ext cx="2467440" cy="13320"/>
          </xdr14:xfrm>
        </xdr:contentPart>
      </mc:Choice>
      <mc:Fallback xmlns="">
        <xdr:pic>
          <xdr:nvPicPr>
            <xdr:cNvPr id="10" name="Encre 9">
              <a:extLst>
                <a:ext uri="{FF2B5EF4-FFF2-40B4-BE49-F238E27FC236}">
                  <a16:creationId xmlns:a16="http://schemas.microsoft.com/office/drawing/2014/main" id="{119081EE-1FED-7DD8-EBAF-24944B69D454}"/>
                </a:ext>
              </a:extLst>
            </xdr:cNvPr>
            <xdr:cNvPicPr/>
          </xdr:nvPicPr>
          <xdr:blipFill>
            <a:blip xmlns:r="http://schemas.openxmlformats.org/officeDocument/2006/relationships" r:embed="rId15"/>
            <a:stretch>
              <a:fillRect/>
            </a:stretch>
          </xdr:blipFill>
          <xdr:spPr>
            <a:xfrm>
              <a:off x="162000" y="22433980"/>
              <a:ext cx="2575080" cy="22896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</xdr:col>
      <xdr:colOff>76200</xdr:colOff>
      <xdr:row>196</xdr:row>
      <xdr:rowOff>60960</xdr:rowOff>
    </xdr:from>
    <xdr:to>
      <xdr:col>5</xdr:col>
      <xdr:colOff>137160</xdr:colOff>
      <xdr:row>196</xdr:row>
      <xdr:rowOff>60960</xdr:rowOff>
    </xdr:to>
    <xdr:cxnSp macro="">
      <xdr:nvCxnSpPr>
        <xdr:cNvPr id="12" name="Connecteur droit 11">
          <a:extLst>
            <a:ext uri="{FF2B5EF4-FFF2-40B4-BE49-F238E27FC236}">
              <a16:creationId xmlns:a16="http://schemas.microsoft.com/office/drawing/2014/main" id="{8ECC79B8-9158-E225-FDA0-6AD46F7E1CCA}"/>
            </a:ext>
          </a:extLst>
        </xdr:cNvPr>
        <xdr:cNvCxnSpPr/>
      </xdr:nvCxnSpPr>
      <xdr:spPr>
        <a:xfrm>
          <a:off x="1615440" y="38381940"/>
          <a:ext cx="2438400" cy="0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570114</xdr:colOff>
      <xdr:row>195</xdr:row>
      <xdr:rowOff>76200</xdr:rowOff>
    </xdr:from>
    <xdr:to>
      <xdr:col>4</xdr:col>
      <xdr:colOff>585354</xdr:colOff>
      <xdr:row>207</xdr:row>
      <xdr:rowOff>0</xdr:rowOff>
    </xdr:to>
    <xdr:cxnSp macro="">
      <xdr:nvCxnSpPr>
        <xdr:cNvPr id="14" name="Connecteur droit 13">
          <a:extLst>
            <a:ext uri="{FF2B5EF4-FFF2-40B4-BE49-F238E27FC236}">
              <a16:creationId xmlns:a16="http://schemas.microsoft.com/office/drawing/2014/main" id="{CEC6BD30-83C7-853D-0941-9E01881E68F3}"/>
            </a:ext>
          </a:extLst>
        </xdr:cNvPr>
        <xdr:cNvCxnSpPr/>
      </xdr:nvCxnSpPr>
      <xdr:spPr>
        <a:xfrm>
          <a:off x="3687387" y="38965909"/>
          <a:ext cx="15240" cy="2334491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548640</xdr:colOff>
      <xdr:row>202</xdr:row>
      <xdr:rowOff>108066</xdr:rowOff>
    </xdr:from>
    <xdr:to>
      <xdr:col>7</xdr:col>
      <xdr:colOff>609600</xdr:colOff>
      <xdr:row>202</xdr:row>
      <xdr:rowOff>108066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38E2BFC0-84BE-4447-B1B4-6927E9B163E2}"/>
            </a:ext>
          </a:extLst>
        </xdr:cNvPr>
        <xdr:cNvCxnSpPr/>
      </xdr:nvCxnSpPr>
      <xdr:spPr>
        <a:xfrm>
          <a:off x="3665913" y="40404011"/>
          <a:ext cx="2430087" cy="0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567342</xdr:colOff>
      <xdr:row>294</xdr:row>
      <xdr:rowOff>45720</xdr:rowOff>
    </xdr:from>
    <xdr:to>
      <xdr:col>5</xdr:col>
      <xdr:colOff>582582</xdr:colOff>
      <xdr:row>305</xdr:row>
      <xdr:rowOff>22860</xdr:rowOff>
    </xdr:to>
    <xdr:cxnSp macro="">
      <xdr:nvCxnSpPr>
        <xdr:cNvPr id="13" name="Connecteur droit 12">
          <a:extLst>
            <a:ext uri="{FF2B5EF4-FFF2-40B4-BE49-F238E27FC236}">
              <a16:creationId xmlns:a16="http://schemas.microsoft.com/office/drawing/2014/main" id="{76477688-6F3C-5DA5-257A-6F9436D33C70}"/>
            </a:ext>
          </a:extLst>
        </xdr:cNvPr>
        <xdr:cNvCxnSpPr/>
      </xdr:nvCxnSpPr>
      <xdr:spPr>
        <a:xfrm flipH="1">
          <a:off x="4474324" y="58629665"/>
          <a:ext cx="15240" cy="2186940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509844</xdr:colOff>
      <xdr:row>297</xdr:row>
      <xdr:rowOff>173181</xdr:rowOff>
    </xdr:from>
    <xdr:to>
      <xdr:col>5</xdr:col>
      <xdr:colOff>730824</xdr:colOff>
      <xdr:row>297</xdr:row>
      <xdr:rowOff>173181</xdr:rowOff>
    </xdr:to>
    <xdr:cxnSp macro="">
      <xdr:nvCxnSpPr>
        <xdr:cNvPr id="17" name="Connecteur droit 16">
          <a:extLst>
            <a:ext uri="{FF2B5EF4-FFF2-40B4-BE49-F238E27FC236}">
              <a16:creationId xmlns:a16="http://schemas.microsoft.com/office/drawing/2014/main" id="{E2600FF3-6637-3897-0D72-7438CB937C6D}"/>
            </a:ext>
          </a:extLst>
        </xdr:cNvPr>
        <xdr:cNvCxnSpPr/>
      </xdr:nvCxnSpPr>
      <xdr:spPr>
        <a:xfrm>
          <a:off x="1257989" y="59359799"/>
          <a:ext cx="3379817" cy="0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512622</xdr:colOff>
      <xdr:row>296</xdr:row>
      <xdr:rowOff>48490</xdr:rowOff>
    </xdr:from>
    <xdr:to>
      <xdr:col>5</xdr:col>
      <xdr:colOff>346363</xdr:colOff>
      <xdr:row>296</xdr:row>
      <xdr:rowOff>48491</xdr:rowOff>
    </xdr:to>
    <xdr:cxnSp macro="">
      <xdr:nvCxnSpPr>
        <xdr:cNvPr id="21" name="Connecteur droit 20">
          <a:extLst>
            <a:ext uri="{FF2B5EF4-FFF2-40B4-BE49-F238E27FC236}">
              <a16:creationId xmlns:a16="http://schemas.microsoft.com/office/drawing/2014/main" id="{F3F84026-20F6-4EAE-9E84-531ADCABBB48}"/>
            </a:ext>
          </a:extLst>
        </xdr:cNvPr>
        <xdr:cNvCxnSpPr/>
      </xdr:nvCxnSpPr>
      <xdr:spPr>
        <a:xfrm flipV="1">
          <a:off x="1260767" y="59228181"/>
          <a:ext cx="2992578" cy="1"/>
        </a:xfrm>
        <a:prstGeom prst="line">
          <a:avLst/>
        </a:prstGeom>
        <a:ln w="12700">
          <a:solidFill>
            <a:schemeClr val="accent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401787</xdr:colOff>
      <xdr:row>294</xdr:row>
      <xdr:rowOff>55423</xdr:rowOff>
    </xdr:from>
    <xdr:to>
      <xdr:col>3</xdr:col>
      <xdr:colOff>417027</xdr:colOff>
      <xdr:row>305</xdr:row>
      <xdr:rowOff>32563</xdr:rowOff>
    </xdr:to>
    <xdr:cxnSp macro="">
      <xdr:nvCxnSpPr>
        <xdr:cNvPr id="22" name="Connecteur droit 21">
          <a:extLst>
            <a:ext uri="{FF2B5EF4-FFF2-40B4-BE49-F238E27FC236}">
              <a16:creationId xmlns:a16="http://schemas.microsoft.com/office/drawing/2014/main" id="{E239A244-7CC2-4BDC-9CB7-25FEF5FB58F2}"/>
            </a:ext>
          </a:extLst>
        </xdr:cNvPr>
        <xdr:cNvCxnSpPr/>
      </xdr:nvCxnSpPr>
      <xdr:spPr>
        <a:xfrm flipH="1">
          <a:off x="2729351" y="58833332"/>
          <a:ext cx="15240" cy="2186940"/>
        </a:xfrm>
        <a:prstGeom prst="line">
          <a:avLst/>
        </a:prstGeom>
        <a:ln w="12700">
          <a:solidFill>
            <a:schemeClr val="accent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540326</xdr:colOff>
      <xdr:row>297</xdr:row>
      <xdr:rowOff>145474</xdr:rowOff>
    </xdr:from>
    <xdr:to>
      <xdr:col>5</xdr:col>
      <xdr:colOff>616526</xdr:colOff>
      <xdr:row>298</xdr:row>
      <xdr:rowOff>1</xdr:rowOff>
    </xdr:to>
    <xdr:sp macro="" textlink="">
      <xdr:nvSpPr>
        <xdr:cNvPr id="23" name="Ellipse 22">
          <a:extLst>
            <a:ext uri="{FF2B5EF4-FFF2-40B4-BE49-F238E27FC236}">
              <a16:creationId xmlns:a16="http://schemas.microsoft.com/office/drawing/2014/main" id="{72498797-D60D-E799-31C7-21F7081A8060}"/>
            </a:ext>
          </a:extLst>
        </xdr:cNvPr>
        <xdr:cNvSpPr/>
      </xdr:nvSpPr>
      <xdr:spPr>
        <a:xfrm>
          <a:off x="4447308" y="59332092"/>
          <a:ext cx="76200" cy="55418"/>
        </a:xfrm>
        <a:prstGeom prst="ellips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 kern="1200"/>
        </a:p>
      </xdr:txBody>
    </xdr:sp>
    <xdr:clientData/>
  </xdr:twoCellAnchor>
  <xdr:twoCellAnchor>
    <xdr:from>
      <xdr:col>3</xdr:col>
      <xdr:colOff>374071</xdr:colOff>
      <xdr:row>296</xdr:row>
      <xdr:rowOff>20781</xdr:rowOff>
    </xdr:from>
    <xdr:to>
      <xdr:col>3</xdr:col>
      <xdr:colOff>450271</xdr:colOff>
      <xdr:row>296</xdr:row>
      <xdr:rowOff>76199</xdr:rowOff>
    </xdr:to>
    <xdr:sp macro="" textlink="">
      <xdr:nvSpPr>
        <xdr:cNvPr id="27" name="Ellipse 26">
          <a:extLst>
            <a:ext uri="{FF2B5EF4-FFF2-40B4-BE49-F238E27FC236}">
              <a16:creationId xmlns:a16="http://schemas.microsoft.com/office/drawing/2014/main" id="{AE627511-44BE-443D-8347-C3A372229786}"/>
            </a:ext>
          </a:extLst>
        </xdr:cNvPr>
        <xdr:cNvSpPr/>
      </xdr:nvSpPr>
      <xdr:spPr>
        <a:xfrm>
          <a:off x="2701635" y="59200472"/>
          <a:ext cx="76200" cy="55418"/>
        </a:xfrm>
        <a:prstGeom prst="ellipse">
          <a:avLst/>
        </a:prstGeom>
        <a:solidFill>
          <a:schemeClr val="accent2"/>
        </a:solidFill>
        <a:ln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 kern="1200"/>
        </a:p>
      </xdr:txBody>
    </xdr:sp>
    <xdr:clientData/>
  </xdr:twoCellAnchor>
  <xdr:twoCellAnchor>
    <xdr:from>
      <xdr:col>5</xdr:col>
      <xdr:colOff>588819</xdr:colOff>
      <xdr:row>242</xdr:row>
      <xdr:rowOff>124693</xdr:rowOff>
    </xdr:from>
    <xdr:to>
      <xdr:col>5</xdr:col>
      <xdr:colOff>595746</xdr:colOff>
      <xdr:row>261</xdr:row>
      <xdr:rowOff>90055</xdr:rowOff>
    </xdr:to>
    <xdr:cxnSp macro="">
      <xdr:nvCxnSpPr>
        <xdr:cNvPr id="16" name="Connecteur droit 15">
          <a:extLst>
            <a:ext uri="{FF2B5EF4-FFF2-40B4-BE49-F238E27FC236}">
              <a16:creationId xmlns:a16="http://schemas.microsoft.com/office/drawing/2014/main" id="{D4237390-40D5-D1E4-EF4F-85DC9CD6C6F2}"/>
            </a:ext>
          </a:extLst>
        </xdr:cNvPr>
        <xdr:cNvCxnSpPr/>
      </xdr:nvCxnSpPr>
      <xdr:spPr>
        <a:xfrm flipH="1">
          <a:off x="4495801" y="48456275"/>
          <a:ext cx="6927" cy="3782289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436421</xdr:colOff>
      <xdr:row>254</xdr:row>
      <xdr:rowOff>41560</xdr:rowOff>
    </xdr:from>
    <xdr:to>
      <xdr:col>6</xdr:col>
      <xdr:colOff>145475</xdr:colOff>
      <xdr:row>254</xdr:row>
      <xdr:rowOff>41560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8B67B19B-5A05-2A7C-809A-5AB90E63CF9C}"/>
            </a:ext>
          </a:extLst>
        </xdr:cNvPr>
        <xdr:cNvCxnSpPr/>
      </xdr:nvCxnSpPr>
      <xdr:spPr>
        <a:xfrm>
          <a:off x="1184566" y="50783833"/>
          <a:ext cx="3657600" cy="0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619124</xdr:colOff>
      <xdr:row>2</xdr:row>
      <xdr:rowOff>57150</xdr:rowOff>
    </xdr:from>
    <xdr:to>
      <xdr:col>11</xdr:col>
      <xdr:colOff>1131569</xdr:colOff>
      <xdr:row>4</xdr:row>
      <xdr:rowOff>188595</xdr:rowOff>
    </xdr:to>
    <xdr:pic>
      <xdr:nvPicPr>
        <xdr:cNvPr id="2" name="Picture 57">
          <a:extLst>
            <a:ext uri="{FF2B5EF4-FFF2-40B4-BE49-F238E27FC236}">
              <a16:creationId xmlns:a16="http://schemas.microsoft.com/office/drawing/2014/main" id="{5C18FCA1-86A3-481E-A031-3A83B9630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125574" y="609600"/>
          <a:ext cx="512445" cy="51244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8</xdr:col>
      <xdr:colOff>555171</xdr:colOff>
      <xdr:row>2</xdr:row>
      <xdr:rowOff>2</xdr:rowOff>
    </xdr:from>
    <xdr:to>
      <xdr:col>8</xdr:col>
      <xdr:colOff>844731</xdr:colOff>
      <xdr:row>3</xdr:row>
      <xdr:rowOff>63139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2B05AC0C-ED28-4EF8-80B5-52A309ABF531}"/>
            </a:ext>
          </a:extLst>
        </xdr:cNvPr>
        <xdr:cNvSpPr txBox="1"/>
      </xdr:nvSpPr>
      <xdr:spPr>
        <a:xfrm>
          <a:off x="10537371" y="555173"/>
          <a:ext cx="289560" cy="259080"/>
        </a:xfrm>
        <a:prstGeom prst="rect">
          <a:avLst/>
        </a:prstGeom>
        <a:solidFill>
          <a:srgbClr val="0000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>
              <a:solidFill>
                <a:schemeClr val="bg1"/>
              </a:solidFill>
            </a:rPr>
            <a:t>1</a:t>
          </a:r>
        </a:p>
      </xdr:txBody>
    </xdr:sp>
    <xdr:clientData/>
  </xdr:twoCellAnchor>
  <xdr:twoCellAnchor>
    <xdr:from>
      <xdr:col>1</xdr:col>
      <xdr:colOff>1251857</xdr:colOff>
      <xdr:row>17</xdr:row>
      <xdr:rowOff>163285</xdr:rowOff>
    </xdr:from>
    <xdr:to>
      <xdr:col>1</xdr:col>
      <xdr:colOff>1541417</xdr:colOff>
      <xdr:row>19</xdr:row>
      <xdr:rowOff>30480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C22C040D-32F7-4611-8044-6F719941E454}"/>
            </a:ext>
          </a:extLst>
        </xdr:cNvPr>
        <xdr:cNvSpPr txBox="1"/>
      </xdr:nvSpPr>
      <xdr:spPr>
        <a:xfrm>
          <a:off x="1447800" y="3222171"/>
          <a:ext cx="289560" cy="259080"/>
        </a:xfrm>
        <a:prstGeom prst="rect">
          <a:avLst/>
        </a:prstGeom>
        <a:solidFill>
          <a:srgbClr val="0000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>
              <a:solidFill>
                <a:schemeClr val="bg1"/>
              </a:solidFill>
            </a:rPr>
            <a:t>2</a:t>
          </a:r>
        </a:p>
      </xdr:txBody>
    </xdr:sp>
    <xdr:clientData/>
  </xdr:twoCellAnchor>
  <xdr:twoCellAnchor>
    <xdr:from>
      <xdr:col>1</xdr:col>
      <xdr:colOff>1251857</xdr:colOff>
      <xdr:row>20</xdr:row>
      <xdr:rowOff>174172</xdr:rowOff>
    </xdr:from>
    <xdr:to>
      <xdr:col>1</xdr:col>
      <xdr:colOff>1541417</xdr:colOff>
      <xdr:row>22</xdr:row>
      <xdr:rowOff>41366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F4888ECD-F518-4B4F-9915-9A10537A182D}"/>
            </a:ext>
          </a:extLst>
        </xdr:cNvPr>
        <xdr:cNvSpPr txBox="1"/>
      </xdr:nvSpPr>
      <xdr:spPr>
        <a:xfrm>
          <a:off x="1447800" y="3907972"/>
          <a:ext cx="289560" cy="259080"/>
        </a:xfrm>
        <a:prstGeom prst="rect">
          <a:avLst/>
        </a:prstGeom>
        <a:solidFill>
          <a:srgbClr val="0000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>
              <a:solidFill>
                <a:schemeClr val="bg1"/>
              </a:solidFill>
            </a:rPr>
            <a:t>3</a:t>
          </a:r>
        </a:p>
      </xdr:txBody>
    </xdr:sp>
    <xdr:clientData/>
  </xdr:twoCellAnchor>
  <xdr:twoCellAnchor>
    <xdr:from>
      <xdr:col>1</xdr:col>
      <xdr:colOff>2166257</xdr:colOff>
      <xdr:row>25</xdr:row>
      <xdr:rowOff>195943</xdr:rowOff>
    </xdr:from>
    <xdr:to>
      <xdr:col>1</xdr:col>
      <xdr:colOff>2466702</xdr:colOff>
      <xdr:row>26</xdr:row>
      <xdr:rowOff>226543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89919564-F2DA-4B17-9407-75F5C55E07F6}"/>
            </a:ext>
          </a:extLst>
        </xdr:cNvPr>
        <xdr:cNvSpPr txBox="1"/>
      </xdr:nvSpPr>
      <xdr:spPr>
        <a:xfrm>
          <a:off x="2362200" y="4887686"/>
          <a:ext cx="300445" cy="259200"/>
        </a:xfrm>
        <a:prstGeom prst="rect">
          <a:avLst/>
        </a:prstGeom>
        <a:solidFill>
          <a:srgbClr val="0000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>
              <a:solidFill>
                <a:schemeClr val="bg1"/>
              </a:solidFill>
            </a:rPr>
            <a:t>4</a:t>
          </a:r>
        </a:p>
      </xdr:txBody>
    </xdr:sp>
    <xdr:clientData/>
  </xdr:twoCellAnchor>
  <xdr:twoCellAnchor>
    <xdr:from>
      <xdr:col>1</xdr:col>
      <xdr:colOff>2166262</xdr:colOff>
      <xdr:row>29</xdr:row>
      <xdr:rowOff>152400</xdr:rowOff>
    </xdr:from>
    <xdr:to>
      <xdr:col>1</xdr:col>
      <xdr:colOff>2457862</xdr:colOff>
      <xdr:row>30</xdr:row>
      <xdr:rowOff>172114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CC29A61B-3D1C-46ED-9A98-48504C7DB799}"/>
            </a:ext>
          </a:extLst>
        </xdr:cNvPr>
        <xdr:cNvSpPr txBox="1"/>
      </xdr:nvSpPr>
      <xdr:spPr>
        <a:xfrm>
          <a:off x="2362205" y="5529943"/>
          <a:ext cx="291600" cy="259200"/>
        </a:xfrm>
        <a:prstGeom prst="rect">
          <a:avLst/>
        </a:prstGeom>
        <a:solidFill>
          <a:srgbClr val="0000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>
              <a:solidFill>
                <a:schemeClr val="bg1"/>
              </a:solidFill>
            </a:rPr>
            <a:t>5</a:t>
          </a:r>
        </a:p>
      </xdr:txBody>
    </xdr:sp>
    <xdr:clientData/>
  </xdr:twoCellAnchor>
  <xdr:twoCellAnchor>
    <xdr:from>
      <xdr:col>1</xdr:col>
      <xdr:colOff>1458685</xdr:colOff>
      <xdr:row>36</xdr:row>
      <xdr:rowOff>163286</xdr:rowOff>
    </xdr:from>
    <xdr:to>
      <xdr:col>1</xdr:col>
      <xdr:colOff>1748245</xdr:colOff>
      <xdr:row>38</xdr:row>
      <xdr:rowOff>8709</xdr:rowOff>
    </xdr:to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E1563E66-6583-4627-82CF-641065BD7378}"/>
            </a:ext>
          </a:extLst>
        </xdr:cNvPr>
        <xdr:cNvSpPr txBox="1"/>
      </xdr:nvSpPr>
      <xdr:spPr>
        <a:xfrm>
          <a:off x="1654628" y="6792686"/>
          <a:ext cx="289560" cy="259080"/>
        </a:xfrm>
        <a:prstGeom prst="rect">
          <a:avLst/>
        </a:prstGeom>
        <a:solidFill>
          <a:srgbClr val="0000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>
              <a:solidFill>
                <a:schemeClr val="bg1"/>
              </a:solidFill>
            </a:rPr>
            <a:t>6</a:t>
          </a:r>
        </a:p>
      </xdr:txBody>
    </xdr:sp>
    <xdr:clientData/>
  </xdr:twoCellAnchor>
  <xdr:twoCellAnchor>
    <xdr:from>
      <xdr:col>1</xdr:col>
      <xdr:colOff>1447801</xdr:colOff>
      <xdr:row>44</xdr:row>
      <xdr:rowOff>174170</xdr:rowOff>
    </xdr:from>
    <xdr:to>
      <xdr:col>1</xdr:col>
      <xdr:colOff>1737361</xdr:colOff>
      <xdr:row>46</xdr:row>
      <xdr:rowOff>19593</xdr:rowOff>
    </xdr:to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1479B02E-05BB-4A59-872A-703D9D453088}"/>
            </a:ext>
          </a:extLst>
        </xdr:cNvPr>
        <xdr:cNvSpPr txBox="1"/>
      </xdr:nvSpPr>
      <xdr:spPr>
        <a:xfrm>
          <a:off x="1643744" y="8937170"/>
          <a:ext cx="289560" cy="259080"/>
        </a:xfrm>
        <a:prstGeom prst="rect">
          <a:avLst/>
        </a:prstGeom>
        <a:solidFill>
          <a:srgbClr val="0000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>
              <a:solidFill>
                <a:schemeClr val="bg1"/>
              </a:solidFill>
            </a:rPr>
            <a:t>7</a:t>
          </a:r>
        </a:p>
      </xdr:txBody>
    </xdr:sp>
    <xdr:clientData/>
  </xdr:twoCellAnchor>
  <xdr:twoCellAnchor>
    <xdr:from>
      <xdr:col>2</xdr:col>
      <xdr:colOff>32656</xdr:colOff>
      <xdr:row>52</xdr:row>
      <xdr:rowOff>163286</xdr:rowOff>
    </xdr:from>
    <xdr:to>
      <xdr:col>2</xdr:col>
      <xdr:colOff>322216</xdr:colOff>
      <xdr:row>54</xdr:row>
      <xdr:rowOff>8709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D884547E-737A-4C68-BDDB-2C29F25E560A}"/>
            </a:ext>
          </a:extLst>
        </xdr:cNvPr>
        <xdr:cNvSpPr txBox="1"/>
      </xdr:nvSpPr>
      <xdr:spPr>
        <a:xfrm>
          <a:off x="2754085" y="10101943"/>
          <a:ext cx="289560" cy="259080"/>
        </a:xfrm>
        <a:prstGeom prst="rect">
          <a:avLst/>
        </a:prstGeom>
        <a:solidFill>
          <a:srgbClr val="0000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>
              <a:solidFill>
                <a:schemeClr val="bg1"/>
              </a:solidFill>
            </a:rPr>
            <a:t>5</a:t>
          </a:r>
        </a:p>
      </xdr:txBody>
    </xdr:sp>
    <xdr:clientData/>
  </xdr:twoCellAnchor>
  <xdr:twoCellAnchor>
    <xdr:from>
      <xdr:col>1</xdr:col>
      <xdr:colOff>1447808</xdr:colOff>
      <xdr:row>41</xdr:row>
      <xdr:rowOff>174172</xdr:rowOff>
    </xdr:from>
    <xdr:to>
      <xdr:col>1</xdr:col>
      <xdr:colOff>1737368</xdr:colOff>
      <xdr:row>43</xdr:row>
      <xdr:rowOff>19595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E12C1B25-9FE6-4D37-AA3A-1AF9719B3BC0}"/>
            </a:ext>
          </a:extLst>
        </xdr:cNvPr>
        <xdr:cNvSpPr txBox="1"/>
      </xdr:nvSpPr>
      <xdr:spPr>
        <a:xfrm>
          <a:off x="1643751" y="8218715"/>
          <a:ext cx="289560" cy="259080"/>
        </a:xfrm>
        <a:prstGeom prst="rect">
          <a:avLst/>
        </a:prstGeom>
        <a:solidFill>
          <a:srgbClr val="0000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>
              <a:solidFill>
                <a:schemeClr val="bg1"/>
              </a:solidFill>
            </a:rPr>
            <a:t>8</a:t>
          </a:r>
        </a:p>
      </xdr:txBody>
    </xdr:sp>
    <xdr:clientData/>
  </xdr:twoCellAnchor>
  <xdr:twoCellAnchor>
    <xdr:from>
      <xdr:col>1</xdr:col>
      <xdr:colOff>1436916</xdr:colOff>
      <xdr:row>49</xdr:row>
      <xdr:rowOff>174172</xdr:rowOff>
    </xdr:from>
    <xdr:to>
      <xdr:col>1</xdr:col>
      <xdr:colOff>1726476</xdr:colOff>
      <xdr:row>51</xdr:row>
      <xdr:rowOff>19594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1D6E3F79-8793-4ED4-9DB7-B8D28C76A7BA}"/>
            </a:ext>
          </a:extLst>
        </xdr:cNvPr>
        <xdr:cNvSpPr txBox="1"/>
      </xdr:nvSpPr>
      <xdr:spPr>
        <a:xfrm>
          <a:off x="1632859" y="9971315"/>
          <a:ext cx="289560" cy="259079"/>
        </a:xfrm>
        <a:prstGeom prst="rect">
          <a:avLst/>
        </a:prstGeom>
        <a:solidFill>
          <a:srgbClr val="0000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>
              <a:solidFill>
                <a:schemeClr val="bg1"/>
              </a:solidFill>
            </a:rPr>
            <a:t>9</a:t>
          </a:r>
        </a:p>
      </xdr:txBody>
    </xdr:sp>
    <xdr:clientData/>
  </xdr:twoCellAnchor>
  <xdr:twoCellAnchor>
    <xdr:from>
      <xdr:col>8</xdr:col>
      <xdr:colOff>544285</xdr:colOff>
      <xdr:row>7</xdr:row>
      <xdr:rowOff>163286</xdr:rowOff>
    </xdr:from>
    <xdr:to>
      <xdr:col>8</xdr:col>
      <xdr:colOff>917665</xdr:colOff>
      <xdr:row>9</xdr:row>
      <xdr:rowOff>30481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418ACFC4-C7D0-4D61-8479-EA816B3CC5AF}"/>
            </a:ext>
          </a:extLst>
        </xdr:cNvPr>
        <xdr:cNvSpPr txBox="1"/>
      </xdr:nvSpPr>
      <xdr:spPr>
        <a:xfrm>
          <a:off x="10526485" y="1698172"/>
          <a:ext cx="373380" cy="259080"/>
        </a:xfrm>
        <a:prstGeom prst="rect">
          <a:avLst/>
        </a:prstGeom>
        <a:solidFill>
          <a:srgbClr val="0000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>
              <a:solidFill>
                <a:schemeClr val="bg1"/>
              </a:solidFill>
            </a:rPr>
            <a:t>10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38100</xdr:rowOff>
    </xdr:from>
    <xdr:to>
      <xdr:col>20</xdr:col>
      <xdr:colOff>127020</xdr:colOff>
      <xdr:row>125</xdr:row>
      <xdr:rowOff>121920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99C4E9E-6416-4800-B7E2-CCECB4569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9075"/>
          <a:ext cx="15938520" cy="22524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499259</xdr:colOff>
      <xdr:row>45</xdr:row>
      <xdr:rowOff>146685</xdr:rowOff>
    </xdr:from>
    <xdr:to>
      <xdr:col>3</xdr:col>
      <xdr:colOff>613559</xdr:colOff>
      <xdr:row>125</xdr:row>
      <xdr:rowOff>28575</xdr:rowOff>
    </xdr:to>
    <xdr:cxnSp macro="">
      <xdr:nvCxnSpPr>
        <xdr:cNvPr id="7" name="Connecteur droit 6">
          <a:extLst>
            <a:ext uri="{FF2B5EF4-FFF2-40B4-BE49-F238E27FC236}">
              <a16:creationId xmlns:a16="http://schemas.microsoft.com/office/drawing/2014/main" id="{785714AC-C1C5-A1E4-8407-957923D821DF}"/>
            </a:ext>
          </a:extLst>
        </xdr:cNvPr>
        <xdr:cNvCxnSpPr/>
      </xdr:nvCxnSpPr>
      <xdr:spPr>
        <a:xfrm flipV="1">
          <a:off x="2870984" y="8290560"/>
          <a:ext cx="114300" cy="14359890"/>
        </a:xfrm>
        <a:prstGeom prst="line">
          <a:avLst/>
        </a:prstGeom>
        <a:ln w="34925">
          <a:solidFill>
            <a:srgbClr val="00B0F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708660</xdr:colOff>
      <xdr:row>49</xdr:row>
      <xdr:rowOff>180892</xdr:rowOff>
    </xdr:from>
    <xdr:to>
      <xdr:col>9</xdr:col>
      <xdr:colOff>91440</xdr:colOff>
      <xdr:row>55</xdr:row>
      <xdr:rowOff>65349</xdr:rowOff>
    </xdr:to>
    <xdr:cxnSp macro="">
      <xdr:nvCxnSpPr>
        <xdr:cNvPr id="12" name="Connecteur droit 11">
          <a:extLst>
            <a:ext uri="{FF2B5EF4-FFF2-40B4-BE49-F238E27FC236}">
              <a16:creationId xmlns:a16="http://schemas.microsoft.com/office/drawing/2014/main" id="{FBDE3383-CAEA-44DC-9BDA-7F5DC3B67BB8}"/>
            </a:ext>
          </a:extLst>
        </xdr:cNvPr>
        <xdr:cNvCxnSpPr/>
      </xdr:nvCxnSpPr>
      <xdr:spPr>
        <a:xfrm flipV="1">
          <a:off x="708660" y="9109544"/>
          <a:ext cx="6538954" cy="977762"/>
        </a:xfrm>
        <a:prstGeom prst="line">
          <a:avLst/>
        </a:prstGeom>
        <a:ln w="444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485775</xdr:colOff>
      <xdr:row>95</xdr:row>
      <xdr:rowOff>79502</xdr:rowOff>
    </xdr:from>
    <xdr:to>
      <xdr:col>14</xdr:col>
      <xdr:colOff>340995</xdr:colOff>
      <xdr:row>98</xdr:row>
      <xdr:rowOff>6450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1BF33E45-C83A-F069-5A24-8AE0EF92737B}"/>
            </a:ext>
          </a:extLst>
        </xdr:cNvPr>
        <xdr:cNvCxnSpPr/>
      </xdr:nvCxnSpPr>
      <xdr:spPr>
        <a:xfrm flipV="1">
          <a:off x="1276350" y="17272127"/>
          <a:ext cx="10132695" cy="469873"/>
        </a:xfrm>
        <a:prstGeom prst="line">
          <a:avLst/>
        </a:prstGeom>
        <a:ln w="47625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636270</xdr:colOff>
      <xdr:row>42</xdr:row>
      <xdr:rowOff>177688</xdr:rowOff>
    </xdr:from>
    <xdr:to>
      <xdr:col>14</xdr:col>
      <xdr:colOff>390525</xdr:colOff>
      <xdr:row>110</xdr:row>
      <xdr:rowOff>146984</xdr:rowOff>
    </xdr:to>
    <xdr:cxnSp macro="">
      <xdr:nvCxnSpPr>
        <xdr:cNvPr id="22" name="Connecteur droit 21">
          <a:extLst>
            <a:ext uri="{FF2B5EF4-FFF2-40B4-BE49-F238E27FC236}">
              <a16:creationId xmlns:a16="http://schemas.microsoft.com/office/drawing/2014/main" id="{2374AF00-4900-4E44-884A-4B6C5E531D86}"/>
            </a:ext>
          </a:extLst>
        </xdr:cNvPr>
        <xdr:cNvCxnSpPr/>
      </xdr:nvCxnSpPr>
      <xdr:spPr>
        <a:xfrm>
          <a:off x="1431400" y="7830818"/>
          <a:ext cx="10090951" cy="12360079"/>
        </a:xfrm>
        <a:prstGeom prst="line">
          <a:avLst/>
        </a:prstGeom>
        <a:ln w="47625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535410</xdr:colOff>
      <xdr:row>56</xdr:row>
      <xdr:rowOff>49530</xdr:rowOff>
    </xdr:from>
    <xdr:to>
      <xdr:col>11</xdr:col>
      <xdr:colOff>623312</xdr:colOff>
      <xdr:row>125</xdr:row>
      <xdr:rowOff>78105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B48AA1DD-BE9E-431D-966B-A23F6B2E7325}"/>
            </a:ext>
          </a:extLst>
        </xdr:cNvPr>
        <xdr:cNvCxnSpPr/>
      </xdr:nvCxnSpPr>
      <xdr:spPr>
        <a:xfrm flipH="1">
          <a:off x="9231735" y="10184130"/>
          <a:ext cx="87902" cy="12515850"/>
        </a:xfrm>
        <a:prstGeom prst="line">
          <a:avLst/>
        </a:prstGeom>
        <a:ln w="4762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735350</xdr:colOff>
      <xdr:row>102</xdr:row>
      <xdr:rowOff>153534</xdr:rowOff>
    </xdr:from>
    <xdr:to>
      <xdr:col>13</xdr:col>
      <xdr:colOff>575227</xdr:colOff>
      <xdr:row>104</xdr:row>
      <xdr:rowOff>140147</xdr:rowOff>
    </xdr:to>
    <xdr:cxnSp macro="">
      <xdr:nvCxnSpPr>
        <xdr:cNvPr id="11" name="Connecteur droit 10">
          <a:extLst>
            <a:ext uri="{FF2B5EF4-FFF2-40B4-BE49-F238E27FC236}">
              <a16:creationId xmlns:a16="http://schemas.microsoft.com/office/drawing/2014/main" id="{0AC0DBE3-C0B7-F623-7281-464A69E60345}"/>
            </a:ext>
          </a:extLst>
        </xdr:cNvPr>
        <xdr:cNvCxnSpPr/>
      </xdr:nvCxnSpPr>
      <xdr:spPr>
        <a:xfrm flipH="1">
          <a:off x="735350" y="18612984"/>
          <a:ext cx="10117352" cy="348563"/>
        </a:xfrm>
        <a:prstGeom prst="line">
          <a:avLst/>
        </a:prstGeom>
        <a:ln w="34925">
          <a:solidFill>
            <a:srgbClr val="0000F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742950</xdr:colOff>
      <xdr:row>104</xdr:row>
      <xdr:rowOff>57150</xdr:rowOff>
    </xdr:from>
    <xdr:to>
      <xdr:col>11</xdr:col>
      <xdr:colOff>666750</xdr:colOff>
      <xdr:row>105</xdr:row>
      <xdr:rowOff>152400</xdr:rowOff>
    </xdr:to>
    <xdr:cxnSp macro="">
      <xdr:nvCxnSpPr>
        <xdr:cNvPr id="42" name="Connecteur droit 41">
          <a:extLst>
            <a:ext uri="{FF2B5EF4-FFF2-40B4-BE49-F238E27FC236}">
              <a16:creationId xmlns:a16="http://schemas.microsoft.com/office/drawing/2014/main" id="{A48511A2-067B-4CEC-A125-5017D17C2B0F}"/>
            </a:ext>
          </a:extLst>
        </xdr:cNvPr>
        <xdr:cNvCxnSpPr/>
      </xdr:nvCxnSpPr>
      <xdr:spPr>
        <a:xfrm flipH="1">
          <a:off x="742950" y="18878550"/>
          <a:ext cx="8620125" cy="276225"/>
        </a:xfrm>
        <a:prstGeom prst="line">
          <a:avLst/>
        </a:prstGeom>
        <a:ln w="34925">
          <a:solidFill>
            <a:srgbClr val="0000F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19050</xdr:colOff>
      <xdr:row>103</xdr:row>
      <xdr:rowOff>0</xdr:rowOff>
    </xdr:from>
    <xdr:to>
      <xdr:col>14</xdr:col>
      <xdr:colOff>581025</xdr:colOff>
      <xdr:row>104</xdr:row>
      <xdr:rowOff>57150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25ACBD5A-C62D-BBA7-72F3-6D3B29F21A1E}"/>
            </a:ext>
          </a:extLst>
        </xdr:cNvPr>
        <xdr:cNvCxnSpPr/>
      </xdr:nvCxnSpPr>
      <xdr:spPr>
        <a:xfrm flipH="1" flipV="1">
          <a:off x="10296525" y="18640425"/>
          <a:ext cx="1352550" cy="238125"/>
        </a:xfrm>
        <a:prstGeom prst="straightConnector1">
          <a:avLst/>
        </a:prstGeom>
        <a:ln w="28575">
          <a:solidFill>
            <a:srgbClr val="00B050"/>
          </a:solidFill>
          <a:headEnd w="lg" len="lg"/>
          <a:tailEnd type="oval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590550</xdr:colOff>
      <xdr:row>103</xdr:row>
      <xdr:rowOff>114300</xdr:rowOff>
    </xdr:from>
    <xdr:to>
      <xdr:col>16</xdr:col>
      <xdr:colOff>38100</xdr:colOff>
      <xdr:row>105</xdr:row>
      <xdr:rowOff>19050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7A402997-9D69-1AF0-5C42-95F6F212C026}"/>
            </a:ext>
          </a:extLst>
        </xdr:cNvPr>
        <xdr:cNvSpPr txBox="1"/>
      </xdr:nvSpPr>
      <xdr:spPr>
        <a:xfrm>
          <a:off x="11658600" y="18754725"/>
          <a:ext cx="1028700" cy="266700"/>
        </a:xfrm>
        <a:prstGeom prst="rect">
          <a:avLst/>
        </a:prstGeom>
        <a:solidFill>
          <a:schemeClr val="lt1"/>
        </a:solidFill>
        <a:ln w="9525" cmpd="sng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200" b="1">
              <a:solidFill>
                <a:srgbClr val="00B050"/>
              </a:solidFill>
            </a:rPr>
            <a:t>T°C humide</a:t>
          </a:r>
        </a:p>
      </xdr:txBody>
    </xdr:sp>
    <xdr:clientData/>
  </xdr:twoCellAnchor>
  <xdr:twoCellAnchor>
    <xdr:from>
      <xdr:col>11</xdr:col>
      <xdr:colOff>561975</xdr:colOff>
      <xdr:row>104</xdr:row>
      <xdr:rowOff>47625</xdr:rowOff>
    </xdr:from>
    <xdr:to>
      <xdr:col>12</xdr:col>
      <xdr:colOff>619125</xdr:colOff>
      <xdr:row>105</xdr:row>
      <xdr:rowOff>161925</xdr:rowOff>
    </xdr:to>
    <xdr:cxnSp macro="">
      <xdr:nvCxnSpPr>
        <xdr:cNvPr id="10" name="Connecteur droit avec flèche 9">
          <a:extLst>
            <a:ext uri="{FF2B5EF4-FFF2-40B4-BE49-F238E27FC236}">
              <a16:creationId xmlns:a16="http://schemas.microsoft.com/office/drawing/2014/main" id="{600B26FA-71B3-4921-BD45-8390107E1552}"/>
            </a:ext>
          </a:extLst>
        </xdr:cNvPr>
        <xdr:cNvCxnSpPr/>
      </xdr:nvCxnSpPr>
      <xdr:spPr>
        <a:xfrm flipH="1" flipV="1">
          <a:off x="9258300" y="18869025"/>
          <a:ext cx="847725" cy="295275"/>
        </a:xfrm>
        <a:prstGeom prst="straightConnector1">
          <a:avLst/>
        </a:prstGeom>
        <a:ln w="28575">
          <a:solidFill>
            <a:srgbClr val="FF0000"/>
          </a:solidFill>
          <a:headEnd w="lg" len="lg"/>
          <a:tailEnd type="oval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114300</xdr:colOff>
      <xdr:row>105</xdr:row>
      <xdr:rowOff>152400</xdr:rowOff>
    </xdr:from>
    <xdr:to>
      <xdr:col>13</xdr:col>
      <xdr:colOff>352425</xdr:colOff>
      <xdr:row>107</xdr:row>
      <xdr:rowOff>57150</xdr:rowOff>
    </xdr:to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9CB35B72-1737-4F2F-B65E-13C6E94AC2B0}"/>
            </a:ext>
          </a:extLst>
        </xdr:cNvPr>
        <xdr:cNvSpPr txBox="1"/>
      </xdr:nvSpPr>
      <xdr:spPr>
        <a:xfrm>
          <a:off x="9601200" y="19154775"/>
          <a:ext cx="1028700" cy="266700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200" b="1">
              <a:solidFill>
                <a:srgbClr val="FF0000"/>
              </a:solidFill>
            </a:rPr>
            <a:t>T°C de rosée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619124</xdr:colOff>
      <xdr:row>2</xdr:row>
      <xdr:rowOff>57150</xdr:rowOff>
    </xdr:from>
    <xdr:to>
      <xdr:col>11</xdr:col>
      <xdr:colOff>1131569</xdr:colOff>
      <xdr:row>5</xdr:row>
      <xdr:rowOff>20955</xdr:rowOff>
    </xdr:to>
    <xdr:pic>
      <xdr:nvPicPr>
        <xdr:cNvPr id="2" name="Picture 57">
          <a:extLst>
            <a:ext uri="{FF2B5EF4-FFF2-40B4-BE49-F238E27FC236}">
              <a16:creationId xmlns:a16="http://schemas.microsoft.com/office/drawing/2014/main" id="{206899E2-C02B-4922-A83A-6BD55E51A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121764" y="605790"/>
          <a:ext cx="512445" cy="51244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8</xdr:col>
      <xdr:colOff>555171</xdr:colOff>
      <xdr:row>2</xdr:row>
      <xdr:rowOff>2</xdr:rowOff>
    </xdr:from>
    <xdr:to>
      <xdr:col>8</xdr:col>
      <xdr:colOff>844731</xdr:colOff>
      <xdr:row>3</xdr:row>
      <xdr:rowOff>63139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6DA05AEE-1D9B-49B9-9E5A-2690181F4610}"/>
            </a:ext>
          </a:extLst>
        </xdr:cNvPr>
        <xdr:cNvSpPr txBox="1"/>
      </xdr:nvSpPr>
      <xdr:spPr>
        <a:xfrm>
          <a:off x="10514511" y="548642"/>
          <a:ext cx="289560" cy="253637"/>
        </a:xfrm>
        <a:prstGeom prst="rect">
          <a:avLst/>
        </a:prstGeom>
        <a:solidFill>
          <a:srgbClr val="0000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>
              <a:solidFill>
                <a:schemeClr val="bg1"/>
              </a:solidFill>
            </a:rPr>
            <a:t>1</a:t>
          </a:r>
        </a:p>
      </xdr:txBody>
    </xdr:sp>
    <xdr:clientData/>
  </xdr:twoCellAnchor>
  <xdr:twoCellAnchor>
    <xdr:from>
      <xdr:col>1</xdr:col>
      <xdr:colOff>1251857</xdr:colOff>
      <xdr:row>18</xdr:row>
      <xdr:rowOff>19050</xdr:rowOff>
    </xdr:from>
    <xdr:to>
      <xdr:col>1</xdr:col>
      <xdr:colOff>1539857</xdr:colOff>
      <xdr:row>19</xdr:row>
      <xdr:rowOff>76200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93A54172-9592-4628-991B-9F0BBDA1C704}"/>
            </a:ext>
          </a:extLst>
        </xdr:cNvPr>
        <xdr:cNvSpPr txBox="1"/>
      </xdr:nvSpPr>
      <xdr:spPr>
        <a:xfrm>
          <a:off x="1442357" y="3590925"/>
          <a:ext cx="288000" cy="266700"/>
        </a:xfrm>
        <a:prstGeom prst="rect">
          <a:avLst/>
        </a:prstGeom>
        <a:solidFill>
          <a:srgbClr val="0000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>
              <a:solidFill>
                <a:schemeClr val="bg1"/>
              </a:solidFill>
            </a:rPr>
            <a:t>2</a:t>
          </a:r>
        </a:p>
      </xdr:txBody>
    </xdr:sp>
    <xdr:clientData/>
  </xdr:twoCellAnchor>
  <xdr:twoCellAnchor>
    <xdr:from>
      <xdr:col>1</xdr:col>
      <xdr:colOff>1251857</xdr:colOff>
      <xdr:row>20</xdr:row>
      <xdr:rowOff>141514</xdr:rowOff>
    </xdr:from>
    <xdr:to>
      <xdr:col>1</xdr:col>
      <xdr:colOff>1541417</xdr:colOff>
      <xdr:row>22</xdr:row>
      <xdr:rowOff>8708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D574196B-1465-471F-9F27-89B153899A8D}"/>
            </a:ext>
          </a:extLst>
        </xdr:cNvPr>
        <xdr:cNvSpPr txBox="1"/>
      </xdr:nvSpPr>
      <xdr:spPr>
        <a:xfrm>
          <a:off x="1442357" y="3738154"/>
          <a:ext cx="289560" cy="255814"/>
        </a:xfrm>
        <a:prstGeom prst="rect">
          <a:avLst/>
        </a:prstGeom>
        <a:solidFill>
          <a:srgbClr val="0000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>
              <a:solidFill>
                <a:schemeClr val="bg1"/>
              </a:solidFill>
            </a:rPr>
            <a:t>3</a:t>
          </a:r>
        </a:p>
      </xdr:txBody>
    </xdr:sp>
    <xdr:clientData/>
  </xdr:twoCellAnchor>
  <xdr:twoCellAnchor>
    <xdr:from>
      <xdr:col>1</xdr:col>
      <xdr:colOff>2177142</xdr:colOff>
      <xdr:row>25</xdr:row>
      <xdr:rowOff>152399</xdr:rowOff>
    </xdr:from>
    <xdr:to>
      <xdr:col>1</xdr:col>
      <xdr:colOff>2466702</xdr:colOff>
      <xdr:row>27</xdr:row>
      <xdr:rowOff>41365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ABB52F89-1E4E-4B4A-8EB9-2A8E8A396795}"/>
            </a:ext>
          </a:extLst>
        </xdr:cNvPr>
        <xdr:cNvSpPr txBox="1"/>
      </xdr:nvSpPr>
      <xdr:spPr>
        <a:xfrm>
          <a:off x="2367642" y="4686299"/>
          <a:ext cx="289560" cy="254726"/>
        </a:xfrm>
        <a:prstGeom prst="rect">
          <a:avLst/>
        </a:prstGeom>
        <a:solidFill>
          <a:srgbClr val="0000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>
              <a:solidFill>
                <a:schemeClr val="bg1"/>
              </a:solidFill>
            </a:rPr>
            <a:t>4</a:t>
          </a:r>
        </a:p>
      </xdr:txBody>
    </xdr:sp>
    <xdr:clientData/>
  </xdr:twoCellAnchor>
  <xdr:twoCellAnchor>
    <xdr:from>
      <xdr:col>1</xdr:col>
      <xdr:colOff>2166262</xdr:colOff>
      <xdr:row>29</xdr:row>
      <xdr:rowOff>152400</xdr:rowOff>
    </xdr:from>
    <xdr:to>
      <xdr:col>1</xdr:col>
      <xdr:colOff>2455822</xdr:colOff>
      <xdr:row>30</xdr:row>
      <xdr:rowOff>204651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6C3909D2-33EB-4CDC-B763-4D47CA45E2B1}"/>
            </a:ext>
          </a:extLst>
        </xdr:cNvPr>
        <xdr:cNvSpPr txBox="1"/>
      </xdr:nvSpPr>
      <xdr:spPr>
        <a:xfrm>
          <a:off x="2356762" y="5257800"/>
          <a:ext cx="289560" cy="257991"/>
        </a:xfrm>
        <a:prstGeom prst="rect">
          <a:avLst/>
        </a:prstGeom>
        <a:solidFill>
          <a:srgbClr val="0000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>
              <a:solidFill>
                <a:schemeClr val="bg1"/>
              </a:solidFill>
            </a:rPr>
            <a:t>5</a:t>
          </a:r>
        </a:p>
      </xdr:txBody>
    </xdr:sp>
    <xdr:clientData/>
  </xdr:twoCellAnchor>
  <xdr:twoCellAnchor>
    <xdr:from>
      <xdr:col>1</xdr:col>
      <xdr:colOff>1460046</xdr:colOff>
      <xdr:row>36</xdr:row>
      <xdr:rowOff>163286</xdr:rowOff>
    </xdr:from>
    <xdr:to>
      <xdr:col>1</xdr:col>
      <xdr:colOff>1749606</xdr:colOff>
      <xdr:row>38</xdr:row>
      <xdr:rowOff>8709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42A5D57E-9D45-44A7-ACD2-1D1E776A5B89}"/>
            </a:ext>
          </a:extLst>
        </xdr:cNvPr>
        <xdr:cNvSpPr txBox="1"/>
      </xdr:nvSpPr>
      <xdr:spPr>
        <a:xfrm>
          <a:off x="1650546" y="6735536"/>
          <a:ext cx="289560" cy="264523"/>
        </a:xfrm>
        <a:prstGeom prst="rect">
          <a:avLst/>
        </a:prstGeom>
        <a:solidFill>
          <a:srgbClr val="0000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>
              <a:solidFill>
                <a:schemeClr val="bg1"/>
              </a:solidFill>
            </a:rPr>
            <a:t>6</a:t>
          </a:r>
        </a:p>
      </xdr:txBody>
    </xdr:sp>
    <xdr:clientData/>
  </xdr:twoCellAnchor>
  <xdr:twoCellAnchor>
    <xdr:from>
      <xdr:col>1</xdr:col>
      <xdr:colOff>1436915</xdr:colOff>
      <xdr:row>44</xdr:row>
      <xdr:rowOff>185056</xdr:rowOff>
    </xdr:from>
    <xdr:to>
      <xdr:col>1</xdr:col>
      <xdr:colOff>1726475</xdr:colOff>
      <xdr:row>46</xdr:row>
      <xdr:rowOff>30479</xdr:rowOff>
    </xdr:to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62B53AB7-9A07-4F13-AE58-683995A766EA}"/>
            </a:ext>
          </a:extLst>
        </xdr:cNvPr>
        <xdr:cNvSpPr txBox="1"/>
      </xdr:nvSpPr>
      <xdr:spPr>
        <a:xfrm>
          <a:off x="1627415" y="8376556"/>
          <a:ext cx="289560" cy="256903"/>
        </a:xfrm>
        <a:prstGeom prst="rect">
          <a:avLst/>
        </a:prstGeom>
        <a:solidFill>
          <a:srgbClr val="0000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>
              <a:solidFill>
                <a:schemeClr val="bg1"/>
              </a:solidFill>
            </a:rPr>
            <a:t>7</a:t>
          </a:r>
        </a:p>
      </xdr:txBody>
    </xdr:sp>
    <xdr:clientData/>
  </xdr:twoCellAnchor>
  <xdr:twoCellAnchor>
    <xdr:from>
      <xdr:col>2</xdr:col>
      <xdr:colOff>32656</xdr:colOff>
      <xdr:row>52</xdr:row>
      <xdr:rowOff>163286</xdr:rowOff>
    </xdr:from>
    <xdr:to>
      <xdr:col>2</xdr:col>
      <xdr:colOff>322216</xdr:colOff>
      <xdr:row>54</xdr:row>
      <xdr:rowOff>8709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06F67A0E-C009-4A10-A57D-8A7EBA146E4A}"/>
            </a:ext>
          </a:extLst>
        </xdr:cNvPr>
        <xdr:cNvSpPr txBox="1"/>
      </xdr:nvSpPr>
      <xdr:spPr>
        <a:xfrm>
          <a:off x="2752996" y="10000706"/>
          <a:ext cx="289560" cy="256903"/>
        </a:xfrm>
        <a:prstGeom prst="rect">
          <a:avLst/>
        </a:prstGeom>
        <a:solidFill>
          <a:srgbClr val="0000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>
              <a:solidFill>
                <a:schemeClr val="bg1"/>
              </a:solidFill>
            </a:rPr>
            <a:t>5</a:t>
          </a:r>
        </a:p>
      </xdr:txBody>
    </xdr:sp>
    <xdr:clientData/>
  </xdr:twoCellAnchor>
  <xdr:twoCellAnchor>
    <xdr:from>
      <xdr:col>1</xdr:col>
      <xdr:colOff>1447808</xdr:colOff>
      <xdr:row>41</xdr:row>
      <xdr:rowOff>185058</xdr:rowOff>
    </xdr:from>
    <xdr:to>
      <xdr:col>1</xdr:col>
      <xdr:colOff>1737368</xdr:colOff>
      <xdr:row>43</xdr:row>
      <xdr:rowOff>30481</xdr:rowOff>
    </xdr:to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C0903C2E-B20F-4C5D-A7BF-9D0BE219C39E}"/>
            </a:ext>
          </a:extLst>
        </xdr:cNvPr>
        <xdr:cNvSpPr txBox="1"/>
      </xdr:nvSpPr>
      <xdr:spPr>
        <a:xfrm>
          <a:off x="1638308" y="7759338"/>
          <a:ext cx="289560" cy="256903"/>
        </a:xfrm>
        <a:prstGeom prst="rect">
          <a:avLst/>
        </a:prstGeom>
        <a:solidFill>
          <a:srgbClr val="0000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>
              <a:solidFill>
                <a:schemeClr val="bg1"/>
              </a:solidFill>
            </a:rPr>
            <a:t>8</a:t>
          </a:r>
        </a:p>
      </xdr:txBody>
    </xdr:sp>
    <xdr:clientData/>
  </xdr:twoCellAnchor>
  <xdr:twoCellAnchor>
    <xdr:from>
      <xdr:col>1</xdr:col>
      <xdr:colOff>1436916</xdr:colOff>
      <xdr:row>49</xdr:row>
      <xdr:rowOff>185058</xdr:rowOff>
    </xdr:from>
    <xdr:to>
      <xdr:col>1</xdr:col>
      <xdr:colOff>1726476</xdr:colOff>
      <xdr:row>51</xdr:row>
      <xdr:rowOff>30480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CFE39EC9-D496-4D45-86B7-4D714FC92DB4}"/>
            </a:ext>
          </a:extLst>
        </xdr:cNvPr>
        <xdr:cNvSpPr txBox="1"/>
      </xdr:nvSpPr>
      <xdr:spPr>
        <a:xfrm>
          <a:off x="1627416" y="9405258"/>
          <a:ext cx="289560" cy="256902"/>
        </a:xfrm>
        <a:prstGeom prst="rect">
          <a:avLst/>
        </a:prstGeom>
        <a:solidFill>
          <a:srgbClr val="0000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>
              <a:solidFill>
                <a:schemeClr val="bg1"/>
              </a:solidFill>
            </a:rPr>
            <a:t>9</a:t>
          </a:r>
        </a:p>
      </xdr:txBody>
    </xdr:sp>
    <xdr:clientData/>
  </xdr:twoCellAnchor>
  <xdr:twoCellAnchor>
    <xdr:from>
      <xdr:col>8</xdr:col>
      <xdr:colOff>544285</xdr:colOff>
      <xdr:row>7</xdr:row>
      <xdr:rowOff>163286</xdr:rowOff>
    </xdr:from>
    <xdr:to>
      <xdr:col>8</xdr:col>
      <xdr:colOff>917665</xdr:colOff>
      <xdr:row>9</xdr:row>
      <xdr:rowOff>30481</xdr:rowOff>
    </xdr:to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BBB02296-F514-41E4-8BC9-EA325521EFD6}"/>
            </a:ext>
          </a:extLst>
        </xdr:cNvPr>
        <xdr:cNvSpPr txBox="1"/>
      </xdr:nvSpPr>
      <xdr:spPr>
        <a:xfrm>
          <a:off x="10503625" y="1664426"/>
          <a:ext cx="373380" cy="248195"/>
        </a:xfrm>
        <a:prstGeom prst="rect">
          <a:avLst/>
        </a:prstGeom>
        <a:solidFill>
          <a:srgbClr val="0000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>
              <a:solidFill>
                <a:schemeClr val="bg1"/>
              </a:solidFill>
            </a:rPr>
            <a:t>10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619124</xdr:colOff>
      <xdr:row>2</xdr:row>
      <xdr:rowOff>57150</xdr:rowOff>
    </xdr:from>
    <xdr:to>
      <xdr:col>11</xdr:col>
      <xdr:colOff>1131569</xdr:colOff>
      <xdr:row>5</xdr:row>
      <xdr:rowOff>20955</xdr:rowOff>
    </xdr:to>
    <xdr:pic>
      <xdr:nvPicPr>
        <xdr:cNvPr id="2" name="Picture 57">
          <a:extLst>
            <a:ext uri="{FF2B5EF4-FFF2-40B4-BE49-F238E27FC236}">
              <a16:creationId xmlns:a16="http://schemas.microsoft.com/office/drawing/2014/main" id="{1AF4065A-E015-4D22-B8DB-B3F0111BD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51404" y="681990"/>
          <a:ext cx="512445" cy="51244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8</xdr:col>
      <xdr:colOff>555171</xdr:colOff>
      <xdr:row>2</xdr:row>
      <xdr:rowOff>2</xdr:rowOff>
    </xdr:from>
    <xdr:to>
      <xdr:col>8</xdr:col>
      <xdr:colOff>844731</xdr:colOff>
      <xdr:row>3</xdr:row>
      <xdr:rowOff>63139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AF367FE0-44B8-4354-915B-799D6C4F6DDA}"/>
            </a:ext>
          </a:extLst>
        </xdr:cNvPr>
        <xdr:cNvSpPr txBox="1"/>
      </xdr:nvSpPr>
      <xdr:spPr>
        <a:xfrm>
          <a:off x="11444151" y="624842"/>
          <a:ext cx="289560" cy="253637"/>
        </a:xfrm>
        <a:prstGeom prst="rect">
          <a:avLst/>
        </a:prstGeom>
        <a:solidFill>
          <a:srgbClr val="0000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>
              <a:solidFill>
                <a:schemeClr val="bg1"/>
              </a:solidFill>
            </a:rPr>
            <a:t>1</a:t>
          </a:r>
        </a:p>
      </xdr:txBody>
    </xdr:sp>
    <xdr:clientData/>
  </xdr:twoCellAnchor>
  <xdr:twoCellAnchor>
    <xdr:from>
      <xdr:col>1</xdr:col>
      <xdr:colOff>1251857</xdr:colOff>
      <xdr:row>17</xdr:row>
      <xdr:rowOff>163285</xdr:rowOff>
    </xdr:from>
    <xdr:to>
      <xdr:col>1</xdr:col>
      <xdr:colOff>1541417</xdr:colOff>
      <xdr:row>18</xdr:row>
      <xdr:rowOff>162985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EB1F5F9A-CA1D-44BB-B92F-701CF72A63D1}"/>
            </a:ext>
          </a:extLst>
        </xdr:cNvPr>
        <xdr:cNvSpPr txBox="1"/>
      </xdr:nvSpPr>
      <xdr:spPr>
        <a:xfrm>
          <a:off x="1442357" y="3706585"/>
          <a:ext cx="289560" cy="266400"/>
        </a:xfrm>
        <a:prstGeom prst="rect">
          <a:avLst/>
        </a:prstGeom>
        <a:solidFill>
          <a:srgbClr val="0000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>
              <a:solidFill>
                <a:schemeClr val="bg1"/>
              </a:solidFill>
            </a:rPr>
            <a:t>2</a:t>
          </a:r>
        </a:p>
      </xdr:txBody>
    </xdr:sp>
    <xdr:clientData/>
  </xdr:twoCellAnchor>
  <xdr:twoCellAnchor>
    <xdr:from>
      <xdr:col>1</xdr:col>
      <xdr:colOff>1251857</xdr:colOff>
      <xdr:row>20</xdr:row>
      <xdr:rowOff>174172</xdr:rowOff>
    </xdr:from>
    <xdr:to>
      <xdr:col>1</xdr:col>
      <xdr:colOff>1541417</xdr:colOff>
      <xdr:row>22</xdr:row>
      <xdr:rowOff>41366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7ED31AF1-4329-4980-9AC4-F74CB85FC282}"/>
            </a:ext>
          </a:extLst>
        </xdr:cNvPr>
        <xdr:cNvSpPr txBox="1"/>
      </xdr:nvSpPr>
      <xdr:spPr>
        <a:xfrm>
          <a:off x="1442357" y="4395652"/>
          <a:ext cx="289560" cy="255814"/>
        </a:xfrm>
        <a:prstGeom prst="rect">
          <a:avLst/>
        </a:prstGeom>
        <a:solidFill>
          <a:srgbClr val="0000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>
              <a:solidFill>
                <a:schemeClr val="bg1"/>
              </a:solidFill>
            </a:rPr>
            <a:t>3</a:t>
          </a:r>
        </a:p>
      </xdr:txBody>
    </xdr:sp>
    <xdr:clientData/>
  </xdr:twoCellAnchor>
  <xdr:twoCellAnchor>
    <xdr:from>
      <xdr:col>1</xdr:col>
      <xdr:colOff>2166257</xdr:colOff>
      <xdr:row>25</xdr:row>
      <xdr:rowOff>195943</xdr:rowOff>
    </xdr:from>
    <xdr:to>
      <xdr:col>1</xdr:col>
      <xdr:colOff>2466702</xdr:colOff>
      <xdr:row>26</xdr:row>
      <xdr:rowOff>226543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48CFD902-2131-4509-9BC2-0A07D42B4733}"/>
            </a:ext>
          </a:extLst>
        </xdr:cNvPr>
        <xdr:cNvSpPr txBox="1"/>
      </xdr:nvSpPr>
      <xdr:spPr>
        <a:xfrm>
          <a:off x="2356757" y="5354683"/>
          <a:ext cx="300445" cy="259200"/>
        </a:xfrm>
        <a:prstGeom prst="rect">
          <a:avLst/>
        </a:prstGeom>
        <a:solidFill>
          <a:srgbClr val="0000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>
              <a:solidFill>
                <a:schemeClr val="bg1"/>
              </a:solidFill>
            </a:rPr>
            <a:t>4</a:t>
          </a:r>
        </a:p>
      </xdr:txBody>
    </xdr:sp>
    <xdr:clientData/>
  </xdr:twoCellAnchor>
  <xdr:twoCellAnchor>
    <xdr:from>
      <xdr:col>1</xdr:col>
      <xdr:colOff>2166262</xdr:colOff>
      <xdr:row>29</xdr:row>
      <xdr:rowOff>152400</xdr:rowOff>
    </xdr:from>
    <xdr:to>
      <xdr:col>1</xdr:col>
      <xdr:colOff>2457862</xdr:colOff>
      <xdr:row>30</xdr:row>
      <xdr:rowOff>172114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3324870D-C035-48EE-A544-8463612E268F}"/>
            </a:ext>
          </a:extLst>
        </xdr:cNvPr>
        <xdr:cNvSpPr txBox="1"/>
      </xdr:nvSpPr>
      <xdr:spPr>
        <a:xfrm>
          <a:off x="2356762" y="6278880"/>
          <a:ext cx="291600" cy="255934"/>
        </a:xfrm>
        <a:prstGeom prst="rect">
          <a:avLst/>
        </a:prstGeom>
        <a:solidFill>
          <a:srgbClr val="0000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>
              <a:solidFill>
                <a:schemeClr val="bg1"/>
              </a:solidFill>
            </a:rPr>
            <a:t>5</a:t>
          </a:r>
        </a:p>
      </xdr:txBody>
    </xdr:sp>
    <xdr:clientData/>
  </xdr:twoCellAnchor>
  <xdr:twoCellAnchor>
    <xdr:from>
      <xdr:col>1</xdr:col>
      <xdr:colOff>1458685</xdr:colOff>
      <xdr:row>36</xdr:row>
      <xdr:rowOff>163286</xdr:rowOff>
    </xdr:from>
    <xdr:to>
      <xdr:col>1</xdr:col>
      <xdr:colOff>1748245</xdr:colOff>
      <xdr:row>38</xdr:row>
      <xdr:rowOff>8709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701FCA0D-F28B-4548-8839-8C98A8D05B39}"/>
            </a:ext>
          </a:extLst>
        </xdr:cNvPr>
        <xdr:cNvSpPr txBox="1"/>
      </xdr:nvSpPr>
      <xdr:spPr>
        <a:xfrm>
          <a:off x="1649185" y="7989026"/>
          <a:ext cx="289560" cy="256903"/>
        </a:xfrm>
        <a:prstGeom prst="rect">
          <a:avLst/>
        </a:prstGeom>
        <a:solidFill>
          <a:srgbClr val="0000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>
              <a:solidFill>
                <a:schemeClr val="bg1"/>
              </a:solidFill>
            </a:rPr>
            <a:t>6</a:t>
          </a:r>
        </a:p>
      </xdr:txBody>
    </xdr:sp>
    <xdr:clientData/>
  </xdr:twoCellAnchor>
  <xdr:twoCellAnchor>
    <xdr:from>
      <xdr:col>1</xdr:col>
      <xdr:colOff>1447801</xdr:colOff>
      <xdr:row>52</xdr:row>
      <xdr:rowOff>174170</xdr:rowOff>
    </xdr:from>
    <xdr:to>
      <xdr:col>1</xdr:col>
      <xdr:colOff>1737361</xdr:colOff>
      <xdr:row>54</xdr:row>
      <xdr:rowOff>19593</xdr:rowOff>
    </xdr:to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4311DD33-550E-4075-9C3F-146D64DA35A2}"/>
            </a:ext>
          </a:extLst>
        </xdr:cNvPr>
        <xdr:cNvSpPr txBox="1"/>
      </xdr:nvSpPr>
      <xdr:spPr>
        <a:xfrm>
          <a:off x="1638301" y="9622970"/>
          <a:ext cx="289560" cy="256903"/>
        </a:xfrm>
        <a:prstGeom prst="rect">
          <a:avLst/>
        </a:prstGeom>
        <a:solidFill>
          <a:srgbClr val="0000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>
              <a:solidFill>
                <a:schemeClr val="bg1"/>
              </a:solidFill>
            </a:rPr>
            <a:t>7</a:t>
          </a:r>
        </a:p>
      </xdr:txBody>
    </xdr:sp>
    <xdr:clientData/>
  </xdr:twoCellAnchor>
  <xdr:twoCellAnchor>
    <xdr:from>
      <xdr:col>2</xdr:col>
      <xdr:colOff>32656</xdr:colOff>
      <xdr:row>60</xdr:row>
      <xdr:rowOff>163286</xdr:rowOff>
    </xdr:from>
    <xdr:to>
      <xdr:col>2</xdr:col>
      <xdr:colOff>322216</xdr:colOff>
      <xdr:row>62</xdr:row>
      <xdr:rowOff>8709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93615BB3-9628-4B51-B91F-A6EE1C3FECC8}"/>
            </a:ext>
          </a:extLst>
        </xdr:cNvPr>
        <xdr:cNvSpPr txBox="1"/>
      </xdr:nvSpPr>
      <xdr:spPr>
        <a:xfrm>
          <a:off x="3225436" y="11258006"/>
          <a:ext cx="289560" cy="256903"/>
        </a:xfrm>
        <a:prstGeom prst="rect">
          <a:avLst/>
        </a:prstGeom>
        <a:solidFill>
          <a:srgbClr val="0000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>
              <a:solidFill>
                <a:schemeClr val="bg1"/>
              </a:solidFill>
            </a:rPr>
            <a:t>5</a:t>
          </a:r>
        </a:p>
      </xdr:txBody>
    </xdr:sp>
    <xdr:clientData/>
  </xdr:twoCellAnchor>
  <xdr:twoCellAnchor>
    <xdr:from>
      <xdr:col>1</xdr:col>
      <xdr:colOff>1447808</xdr:colOff>
      <xdr:row>41</xdr:row>
      <xdr:rowOff>174172</xdr:rowOff>
    </xdr:from>
    <xdr:to>
      <xdr:col>1</xdr:col>
      <xdr:colOff>1737368</xdr:colOff>
      <xdr:row>43</xdr:row>
      <xdr:rowOff>19595</xdr:rowOff>
    </xdr:to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1B953420-A5E4-49DF-88FA-A230F58BFF54}"/>
            </a:ext>
          </a:extLst>
        </xdr:cNvPr>
        <xdr:cNvSpPr txBox="1"/>
      </xdr:nvSpPr>
      <xdr:spPr>
        <a:xfrm>
          <a:off x="1638308" y="9028612"/>
          <a:ext cx="289560" cy="256903"/>
        </a:xfrm>
        <a:prstGeom prst="rect">
          <a:avLst/>
        </a:prstGeom>
        <a:solidFill>
          <a:srgbClr val="0000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>
              <a:solidFill>
                <a:schemeClr val="bg1"/>
              </a:solidFill>
            </a:rPr>
            <a:t>8</a:t>
          </a:r>
        </a:p>
      </xdr:txBody>
    </xdr:sp>
    <xdr:clientData/>
  </xdr:twoCellAnchor>
  <xdr:twoCellAnchor>
    <xdr:from>
      <xdr:col>1</xdr:col>
      <xdr:colOff>1436916</xdr:colOff>
      <xdr:row>57</xdr:row>
      <xdr:rowOff>174172</xdr:rowOff>
    </xdr:from>
    <xdr:to>
      <xdr:col>1</xdr:col>
      <xdr:colOff>1726476</xdr:colOff>
      <xdr:row>59</xdr:row>
      <xdr:rowOff>19594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5A0D27A8-BB96-4A2D-BD17-7CF304A7174D}"/>
            </a:ext>
          </a:extLst>
        </xdr:cNvPr>
        <xdr:cNvSpPr txBox="1"/>
      </xdr:nvSpPr>
      <xdr:spPr>
        <a:xfrm>
          <a:off x="1627416" y="10651672"/>
          <a:ext cx="289560" cy="256902"/>
        </a:xfrm>
        <a:prstGeom prst="rect">
          <a:avLst/>
        </a:prstGeom>
        <a:solidFill>
          <a:srgbClr val="0000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>
              <a:solidFill>
                <a:schemeClr val="bg1"/>
              </a:solidFill>
            </a:rPr>
            <a:t>9</a:t>
          </a:r>
        </a:p>
      </xdr:txBody>
    </xdr:sp>
    <xdr:clientData/>
  </xdr:twoCellAnchor>
  <xdr:twoCellAnchor>
    <xdr:from>
      <xdr:col>8</xdr:col>
      <xdr:colOff>544285</xdr:colOff>
      <xdr:row>7</xdr:row>
      <xdr:rowOff>163285</xdr:rowOff>
    </xdr:from>
    <xdr:to>
      <xdr:col>8</xdr:col>
      <xdr:colOff>917665</xdr:colOff>
      <xdr:row>9</xdr:row>
      <xdr:rowOff>48685</xdr:rowOff>
    </xdr:to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E2C9E55B-91EF-4B8A-860E-7EB27FDE041A}"/>
            </a:ext>
          </a:extLst>
        </xdr:cNvPr>
        <xdr:cNvSpPr txBox="1"/>
      </xdr:nvSpPr>
      <xdr:spPr>
        <a:xfrm>
          <a:off x="11431360" y="1744435"/>
          <a:ext cx="373380" cy="266400"/>
        </a:xfrm>
        <a:prstGeom prst="rect">
          <a:avLst/>
        </a:prstGeom>
        <a:solidFill>
          <a:srgbClr val="0000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>
              <a:solidFill>
                <a:schemeClr val="bg1"/>
              </a:solidFill>
            </a:rPr>
            <a:t>10</a:t>
          </a:r>
        </a:p>
      </xdr:txBody>
    </xdr:sp>
    <xdr:clientData/>
  </xdr:twoCellAnchor>
  <xdr:twoCellAnchor>
    <xdr:from>
      <xdr:col>1</xdr:col>
      <xdr:colOff>1458685</xdr:colOff>
      <xdr:row>44</xdr:row>
      <xdr:rowOff>163285</xdr:rowOff>
    </xdr:from>
    <xdr:to>
      <xdr:col>1</xdr:col>
      <xdr:colOff>1748245</xdr:colOff>
      <xdr:row>46</xdr:row>
      <xdr:rowOff>67735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BF855BEA-8CC8-46B4-9F9E-8F558D820C38}"/>
            </a:ext>
          </a:extLst>
        </xdr:cNvPr>
        <xdr:cNvSpPr txBox="1"/>
      </xdr:nvSpPr>
      <xdr:spPr>
        <a:xfrm>
          <a:off x="1649185" y="9659710"/>
          <a:ext cx="289560" cy="266400"/>
        </a:xfrm>
        <a:prstGeom prst="rect">
          <a:avLst/>
        </a:prstGeom>
        <a:solidFill>
          <a:srgbClr val="0000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>
              <a:solidFill>
                <a:schemeClr val="bg1"/>
              </a:solidFill>
            </a:rPr>
            <a:t>6</a:t>
          </a:r>
        </a:p>
      </xdr:txBody>
    </xdr:sp>
    <xdr:clientData/>
  </xdr:twoCellAnchor>
  <xdr:twoCellAnchor>
    <xdr:from>
      <xdr:col>1</xdr:col>
      <xdr:colOff>1447808</xdr:colOff>
      <xdr:row>49</xdr:row>
      <xdr:rowOff>174171</xdr:rowOff>
    </xdr:from>
    <xdr:to>
      <xdr:col>1</xdr:col>
      <xdr:colOff>1737368</xdr:colOff>
      <xdr:row>51</xdr:row>
      <xdr:rowOff>78621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53AB7A14-0676-4860-9159-2F7D310E6353}"/>
            </a:ext>
          </a:extLst>
        </xdr:cNvPr>
        <xdr:cNvSpPr txBox="1"/>
      </xdr:nvSpPr>
      <xdr:spPr>
        <a:xfrm>
          <a:off x="1638308" y="10575471"/>
          <a:ext cx="289560" cy="266400"/>
        </a:xfrm>
        <a:prstGeom prst="rect">
          <a:avLst/>
        </a:prstGeom>
        <a:solidFill>
          <a:srgbClr val="0000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>
              <a:solidFill>
                <a:schemeClr val="bg1"/>
              </a:solidFill>
            </a:rPr>
            <a:t>8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28575</xdr:rowOff>
    </xdr:from>
    <xdr:to>
      <xdr:col>20</xdr:col>
      <xdr:colOff>127020</xdr:colOff>
      <xdr:row>125</xdr:row>
      <xdr:rowOff>112395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5FDE28D-5C5F-49F7-B684-9C246578E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1455"/>
          <a:ext cx="15976620" cy="22760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521031</xdr:colOff>
      <xdr:row>40</xdr:row>
      <xdr:rowOff>22860</xdr:rowOff>
    </xdr:from>
    <xdr:to>
      <xdr:col>3</xdr:col>
      <xdr:colOff>593272</xdr:colOff>
      <xdr:row>125</xdr:row>
      <xdr:rowOff>123825</xdr:rowOff>
    </xdr:to>
    <xdr:cxnSp macro="">
      <xdr:nvCxnSpPr>
        <xdr:cNvPr id="3" name="Connecteur droit 2">
          <a:extLst>
            <a:ext uri="{FF2B5EF4-FFF2-40B4-BE49-F238E27FC236}">
              <a16:creationId xmlns:a16="http://schemas.microsoft.com/office/drawing/2014/main" id="{25CB3180-25FE-4C15-A92E-B0FA311858BD}"/>
            </a:ext>
          </a:extLst>
        </xdr:cNvPr>
        <xdr:cNvCxnSpPr/>
      </xdr:nvCxnSpPr>
      <xdr:spPr>
        <a:xfrm flipV="1">
          <a:off x="2905002" y="7425146"/>
          <a:ext cx="72241" cy="15830822"/>
        </a:xfrm>
        <a:prstGeom prst="line">
          <a:avLst/>
        </a:prstGeom>
        <a:ln w="34925">
          <a:solidFill>
            <a:srgbClr val="00B0F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357053</xdr:colOff>
      <xdr:row>101</xdr:row>
      <xdr:rowOff>95250</xdr:rowOff>
    </xdr:from>
    <xdr:to>
      <xdr:col>15</xdr:col>
      <xdr:colOff>609600</xdr:colOff>
      <xdr:row>103</xdr:row>
      <xdr:rowOff>140970</xdr:rowOff>
    </xdr:to>
    <xdr:cxnSp macro="">
      <xdr:nvCxnSpPr>
        <xdr:cNvPr id="8" name="Connecteur droit 7">
          <a:extLst>
            <a:ext uri="{FF2B5EF4-FFF2-40B4-BE49-F238E27FC236}">
              <a16:creationId xmlns:a16="http://schemas.microsoft.com/office/drawing/2014/main" id="{31BAFC1A-A510-4B88-BC4F-54EC8EEFC1D6}"/>
            </a:ext>
          </a:extLst>
        </xdr:cNvPr>
        <xdr:cNvCxnSpPr/>
      </xdr:nvCxnSpPr>
      <xdr:spPr>
        <a:xfrm flipH="1">
          <a:off x="1147628" y="18373725"/>
          <a:ext cx="11320597" cy="407670"/>
        </a:xfrm>
        <a:prstGeom prst="line">
          <a:avLst/>
        </a:prstGeom>
        <a:ln w="34925">
          <a:solidFill>
            <a:srgbClr val="0000F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370775</xdr:colOff>
      <xdr:row>103</xdr:row>
      <xdr:rowOff>129936</xdr:rowOff>
    </xdr:from>
    <xdr:to>
      <xdr:col>12</xdr:col>
      <xdr:colOff>309352</xdr:colOff>
      <xdr:row>105</xdr:row>
      <xdr:rowOff>43026</xdr:rowOff>
    </xdr:to>
    <xdr:cxnSp macro="">
      <xdr:nvCxnSpPr>
        <xdr:cNvPr id="9" name="Connecteur droit 8">
          <a:extLst>
            <a:ext uri="{FF2B5EF4-FFF2-40B4-BE49-F238E27FC236}">
              <a16:creationId xmlns:a16="http://schemas.microsoft.com/office/drawing/2014/main" id="{3F72D3D3-9091-4F87-AF96-FF49D926F1D7}"/>
            </a:ext>
          </a:extLst>
        </xdr:cNvPr>
        <xdr:cNvCxnSpPr/>
      </xdr:nvCxnSpPr>
      <xdr:spPr>
        <a:xfrm flipH="1">
          <a:off x="1165432" y="19190822"/>
          <a:ext cx="8679806" cy="283204"/>
        </a:xfrm>
        <a:prstGeom prst="line">
          <a:avLst/>
        </a:prstGeom>
        <a:ln w="34925">
          <a:solidFill>
            <a:srgbClr val="0000F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454481</xdr:colOff>
      <xdr:row>103</xdr:row>
      <xdr:rowOff>44903</xdr:rowOff>
    </xdr:from>
    <xdr:to>
      <xdr:col>16</xdr:col>
      <xdr:colOff>688524</xdr:colOff>
      <xdr:row>104</xdr:row>
      <xdr:rowOff>126546</xdr:rowOff>
    </xdr:to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EB03821B-7C9A-48AE-BD24-4D46E088F29F}"/>
            </a:ext>
          </a:extLst>
        </xdr:cNvPr>
        <xdr:cNvSpPr txBox="1"/>
      </xdr:nvSpPr>
      <xdr:spPr>
        <a:xfrm>
          <a:off x="12313106" y="18685328"/>
          <a:ext cx="1024618" cy="262618"/>
        </a:xfrm>
        <a:prstGeom prst="rect">
          <a:avLst/>
        </a:prstGeom>
        <a:solidFill>
          <a:schemeClr val="lt1"/>
        </a:solidFill>
        <a:ln w="9525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200" b="1">
              <a:solidFill>
                <a:schemeClr val="accent2"/>
              </a:solidFill>
            </a:rPr>
            <a:t>T°C humide</a:t>
          </a:r>
        </a:p>
      </xdr:txBody>
    </xdr:sp>
    <xdr:clientData/>
  </xdr:twoCellAnchor>
  <xdr:twoCellAnchor>
    <xdr:from>
      <xdr:col>12</xdr:col>
      <xdr:colOff>114301</xdr:colOff>
      <xdr:row>103</xdr:row>
      <xdr:rowOff>141512</xdr:rowOff>
    </xdr:from>
    <xdr:to>
      <xdr:col>13</xdr:col>
      <xdr:colOff>46266</xdr:colOff>
      <xdr:row>105</xdr:row>
      <xdr:rowOff>95248</xdr:rowOff>
    </xdr:to>
    <xdr:cxnSp macro="">
      <xdr:nvCxnSpPr>
        <xdr:cNvPr id="12" name="Connecteur droit avec flèche 11">
          <a:extLst>
            <a:ext uri="{FF2B5EF4-FFF2-40B4-BE49-F238E27FC236}">
              <a16:creationId xmlns:a16="http://schemas.microsoft.com/office/drawing/2014/main" id="{7841B946-C108-4320-B14D-77EFCDE09704}"/>
            </a:ext>
          </a:extLst>
        </xdr:cNvPr>
        <xdr:cNvCxnSpPr/>
      </xdr:nvCxnSpPr>
      <xdr:spPr>
        <a:xfrm flipH="1" flipV="1">
          <a:off x="9601201" y="18781937"/>
          <a:ext cx="722540" cy="315686"/>
        </a:xfrm>
        <a:prstGeom prst="straightConnector1">
          <a:avLst/>
        </a:prstGeom>
        <a:ln w="28575">
          <a:solidFill>
            <a:srgbClr val="FF0000"/>
          </a:solidFill>
          <a:headEnd w="lg" len="lg"/>
          <a:tailEnd type="oval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288473</xdr:colOff>
      <xdr:row>105</xdr:row>
      <xdr:rowOff>95248</xdr:rowOff>
    </xdr:from>
    <xdr:to>
      <xdr:col>13</xdr:col>
      <xdr:colOff>522516</xdr:colOff>
      <xdr:row>106</xdr:row>
      <xdr:rowOff>176891</xdr:rowOff>
    </xdr:to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EB692822-DCF3-45A0-AEAF-0E8D4E8197EF}"/>
            </a:ext>
          </a:extLst>
        </xdr:cNvPr>
        <xdr:cNvSpPr txBox="1"/>
      </xdr:nvSpPr>
      <xdr:spPr>
        <a:xfrm>
          <a:off x="9824359" y="19526248"/>
          <a:ext cx="1028700" cy="266700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200" b="1">
              <a:solidFill>
                <a:srgbClr val="FF0000"/>
              </a:solidFill>
            </a:rPr>
            <a:t>T°C de rosée</a:t>
          </a:r>
        </a:p>
      </xdr:txBody>
    </xdr:sp>
    <xdr:clientData/>
  </xdr:twoCellAnchor>
  <xdr:twoCellAnchor>
    <xdr:from>
      <xdr:col>3</xdr:col>
      <xdr:colOff>163288</xdr:colOff>
      <xdr:row>42</xdr:row>
      <xdr:rowOff>9525</xdr:rowOff>
    </xdr:from>
    <xdr:to>
      <xdr:col>15</xdr:col>
      <xdr:colOff>717915</xdr:colOff>
      <xdr:row>109</xdr:row>
      <xdr:rowOff>138815</xdr:rowOff>
    </xdr:to>
    <xdr:cxnSp macro="">
      <xdr:nvCxnSpPr>
        <xdr:cNvPr id="14" name="Connecteur droit 13">
          <a:extLst>
            <a:ext uri="{FF2B5EF4-FFF2-40B4-BE49-F238E27FC236}">
              <a16:creationId xmlns:a16="http://schemas.microsoft.com/office/drawing/2014/main" id="{26416157-CD85-44C2-BE20-5D0972DF8A44}"/>
            </a:ext>
          </a:extLst>
        </xdr:cNvPr>
        <xdr:cNvCxnSpPr/>
      </xdr:nvCxnSpPr>
      <xdr:spPr>
        <a:xfrm>
          <a:off x="2535013" y="7610475"/>
          <a:ext cx="10041527" cy="12254615"/>
        </a:xfrm>
        <a:prstGeom prst="line">
          <a:avLst/>
        </a:prstGeom>
        <a:ln w="47625">
          <a:solidFill>
            <a:schemeClr val="accent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751114</xdr:colOff>
      <xdr:row>40</xdr:row>
      <xdr:rowOff>142867</xdr:rowOff>
    </xdr:from>
    <xdr:to>
      <xdr:col>9</xdr:col>
      <xdr:colOff>228600</xdr:colOff>
      <xdr:row>46</xdr:row>
      <xdr:rowOff>175530</xdr:rowOff>
    </xdr:to>
    <xdr:cxnSp macro="">
      <xdr:nvCxnSpPr>
        <xdr:cNvPr id="16" name="Connecteur droit 15">
          <a:extLst>
            <a:ext uri="{FF2B5EF4-FFF2-40B4-BE49-F238E27FC236}">
              <a16:creationId xmlns:a16="http://schemas.microsoft.com/office/drawing/2014/main" id="{BBE08777-9540-47DE-AB7A-B6C291D4850F}"/>
            </a:ext>
          </a:extLst>
        </xdr:cNvPr>
        <xdr:cNvCxnSpPr/>
      </xdr:nvCxnSpPr>
      <xdr:spPr>
        <a:xfrm flipV="1">
          <a:off x="751114" y="7381867"/>
          <a:ext cx="6592661" cy="1118513"/>
        </a:xfrm>
        <a:prstGeom prst="line">
          <a:avLst/>
        </a:prstGeom>
        <a:ln w="44450">
          <a:solidFill>
            <a:schemeClr val="accent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85725</xdr:colOff>
      <xdr:row>55</xdr:row>
      <xdr:rowOff>5442</xdr:rowOff>
    </xdr:from>
    <xdr:to>
      <xdr:col>12</xdr:col>
      <xdr:colOff>136064</xdr:colOff>
      <xdr:row>124</xdr:row>
      <xdr:rowOff>152400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1663AC19-E725-43F1-B0CC-4CABD850CBEA}"/>
            </a:ext>
          </a:extLst>
        </xdr:cNvPr>
        <xdr:cNvCxnSpPr/>
      </xdr:nvCxnSpPr>
      <xdr:spPr>
        <a:xfrm flipH="1">
          <a:off x="9572625" y="9959067"/>
          <a:ext cx="50339" cy="12634233"/>
        </a:xfrm>
        <a:prstGeom prst="line">
          <a:avLst/>
        </a:prstGeom>
        <a:ln w="4762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478972</xdr:colOff>
      <xdr:row>89</xdr:row>
      <xdr:rowOff>0</xdr:rowOff>
    </xdr:from>
    <xdr:to>
      <xdr:col>14</xdr:col>
      <xdr:colOff>544286</xdr:colOff>
      <xdr:row>92</xdr:row>
      <xdr:rowOff>54424</xdr:rowOff>
    </xdr:to>
    <xdr:cxnSp macro="">
      <xdr:nvCxnSpPr>
        <xdr:cNvPr id="22" name="Connecteur droit 21">
          <a:extLst>
            <a:ext uri="{FF2B5EF4-FFF2-40B4-BE49-F238E27FC236}">
              <a16:creationId xmlns:a16="http://schemas.microsoft.com/office/drawing/2014/main" id="{305286FB-2280-4164-826E-24F9A73B7CAB}"/>
            </a:ext>
          </a:extLst>
        </xdr:cNvPr>
        <xdr:cNvCxnSpPr/>
      </xdr:nvCxnSpPr>
      <xdr:spPr>
        <a:xfrm flipV="1">
          <a:off x="1273629" y="16470086"/>
          <a:ext cx="10395857" cy="609595"/>
        </a:xfrm>
        <a:prstGeom prst="line">
          <a:avLst/>
        </a:prstGeom>
        <a:ln w="47625">
          <a:solidFill>
            <a:schemeClr val="accent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302081</xdr:colOff>
      <xdr:row>101</xdr:row>
      <xdr:rowOff>125186</xdr:rowOff>
    </xdr:from>
    <xdr:to>
      <xdr:col>16</xdr:col>
      <xdr:colOff>176215</xdr:colOff>
      <xdr:row>103</xdr:row>
      <xdr:rowOff>44903</xdr:rowOff>
    </xdr:to>
    <xdr:cxnSp macro="">
      <xdr:nvCxnSpPr>
        <xdr:cNvPr id="10" name="Connecteur droit avec flèche 9">
          <a:extLst>
            <a:ext uri="{FF2B5EF4-FFF2-40B4-BE49-F238E27FC236}">
              <a16:creationId xmlns:a16="http://schemas.microsoft.com/office/drawing/2014/main" id="{C1D41545-26DC-4116-BFFD-6072059CB79C}"/>
            </a:ext>
          </a:extLst>
        </xdr:cNvPr>
        <xdr:cNvCxnSpPr>
          <a:stCxn id="11" idx="0"/>
        </xdr:cNvCxnSpPr>
      </xdr:nvCxnSpPr>
      <xdr:spPr>
        <a:xfrm flipH="1" flipV="1">
          <a:off x="11370131" y="18403661"/>
          <a:ext cx="1455284" cy="281667"/>
        </a:xfrm>
        <a:prstGeom prst="straightConnector1">
          <a:avLst/>
        </a:prstGeom>
        <a:ln w="28575">
          <a:solidFill>
            <a:schemeClr val="accent2"/>
          </a:solidFill>
          <a:headEnd w="lg" len="lg"/>
          <a:tailEnd type="oval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421341</xdr:colOff>
      <xdr:row>8</xdr:row>
      <xdr:rowOff>134470</xdr:rowOff>
    </xdr:from>
    <xdr:to>
      <xdr:col>10</xdr:col>
      <xdr:colOff>17930</xdr:colOff>
      <xdr:row>65</xdr:row>
      <xdr:rowOff>35859</xdr:rowOff>
    </xdr:to>
    <xdr:grpSp>
      <xdr:nvGrpSpPr>
        <xdr:cNvPr id="10" name="Groupe 9">
          <a:extLst>
            <a:ext uri="{FF2B5EF4-FFF2-40B4-BE49-F238E27FC236}">
              <a16:creationId xmlns:a16="http://schemas.microsoft.com/office/drawing/2014/main" id="{1AD81DF0-95A6-9F97-0A89-BC30B12F664D}"/>
            </a:ext>
          </a:extLst>
        </xdr:cNvPr>
        <xdr:cNvGrpSpPr/>
      </xdr:nvGrpSpPr>
      <xdr:grpSpPr>
        <a:xfrm>
          <a:off x="421341" y="1748117"/>
          <a:ext cx="7243483" cy="10121154"/>
          <a:chOff x="0" y="869575"/>
          <a:chExt cx="5289176" cy="7679169"/>
        </a:xfrm>
      </xdr:grpSpPr>
      <xdr:grpSp>
        <xdr:nvGrpSpPr>
          <xdr:cNvPr id="20" name="Groupe 19">
            <a:extLst>
              <a:ext uri="{FF2B5EF4-FFF2-40B4-BE49-F238E27FC236}">
                <a16:creationId xmlns:a16="http://schemas.microsoft.com/office/drawing/2014/main" id="{FD9F5757-2F55-4E93-D4F0-23F8784C8B0A}"/>
              </a:ext>
            </a:extLst>
          </xdr:cNvPr>
          <xdr:cNvGrpSpPr/>
        </xdr:nvGrpSpPr>
        <xdr:grpSpPr>
          <a:xfrm>
            <a:off x="662811" y="869575"/>
            <a:ext cx="4626365" cy="4714355"/>
            <a:chOff x="17354" y="3038281"/>
            <a:chExt cx="4773078" cy="4809004"/>
          </a:xfrm>
        </xdr:grpSpPr>
        <xdr:pic>
          <xdr:nvPicPr>
            <xdr:cNvPr id="3" name="Image 2">
              <a:extLst>
                <a:ext uri="{FF2B5EF4-FFF2-40B4-BE49-F238E27FC236}">
                  <a16:creationId xmlns:a16="http://schemas.microsoft.com/office/drawing/2014/main" id="{FD59D6EF-E416-6DBB-0404-449B2D11E432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/>
            <a:srcRect l="17908" t="42291" r="57529" b="7767"/>
            <a:stretch/>
          </xdr:blipFill>
          <xdr:spPr>
            <a:xfrm>
              <a:off x="17354" y="3038281"/>
              <a:ext cx="4773078" cy="4809004"/>
            </a:xfrm>
            <a:prstGeom prst="rect">
              <a:avLst/>
            </a:prstGeom>
          </xdr:spPr>
        </xdr:pic>
        <xdr:sp macro="" textlink="">
          <xdr:nvSpPr>
            <xdr:cNvPr id="6" name="ZoneTexte 5">
              <a:extLst>
                <a:ext uri="{FF2B5EF4-FFF2-40B4-BE49-F238E27FC236}">
                  <a16:creationId xmlns:a16="http://schemas.microsoft.com/office/drawing/2014/main" id="{F269C3A8-9F11-4E7C-AFB3-C9C772E16F90}"/>
                </a:ext>
              </a:extLst>
            </xdr:cNvPr>
            <xdr:cNvSpPr txBox="1"/>
          </xdr:nvSpPr>
          <xdr:spPr>
            <a:xfrm>
              <a:off x="1426616" y="3070860"/>
              <a:ext cx="267950" cy="222900"/>
            </a:xfrm>
            <a:prstGeom prst="rect">
              <a:avLst/>
            </a:prstGeom>
            <a:solidFill>
              <a:srgbClr val="0000FF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fr-FR" sz="1100" b="1">
                  <a:solidFill>
                    <a:schemeClr val="bg1"/>
                  </a:solidFill>
                </a:rPr>
                <a:t>1</a:t>
              </a:r>
            </a:p>
          </xdr:txBody>
        </xdr:sp>
        <xdr:sp macro="" textlink="">
          <xdr:nvSpPr>
            <xdr:cNvPr id="9" name="ZoneTexte 8">
              <a:extLst>
                <a:ext uri="{FF2B5EF4-FFF2-40B4-BE49-F238E27FC236}">
                  <a16:creationId xmlns:a16="http://schemas.microsoft.com/office/drawing/2014/main" id="{3400B6DA-902A-4454-8FC4-6F5C4328C266}"/>
                </a:ext>
              </a:extLst>
            </xdr:cNvPr>
            <xdr:cNvSpPr txBox="1"/>
          </xdr:nvSpPr>
          <xdr:spPr>
            <a:xfrm>
              <a:off x="403860" y="5173980"/>
              <a:ext cx="289560" cy="222900"/>
            </a:xfrm>
            <a:prstGeom prst="rect">
              <a:avLst/>
            </a:prstGeom>
            <a:solidFill>
              <a:srgbClr val="0000FF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fr-FR" sz="1100" b="1">
                  <a:solidFill>
                    <a:schemeClr val="bg1"/>
                  </a:solidFill>
                </a:rPr>
                <a:t>2</a:t>
              </a:r>
            </a:p>
          </xdr:txBody>
        </xdr:sp>
        <xdr:sp macro="" textlink="">
          <xdr:nvSpPr>
            <xdr:cNvPr id="11" name="ZoneTexte 10">
              <a:extLst>
                <a:ext uri="{FF2B5EF4-FFF2-40B4-BE49-F238E27FC236}">
                  <a16:creationId xmlns:a16="http://schemas.microsoft.com/office/drawing/2014/main" id="{1CC79E43-1ACA-4807-986C-1F3C8EF7031C}"/>
                </a:ext>
              </a:extLst>
            </xdr:cNvPr>
            <xdr:cNvSpPr txBox="1"/>
          </xdr:nvSpPr>
          <xdr:spPr>
            <a:xfrm>
              <a:off x="373380" y="3550920"/>
              <a:ext cx="291827" cy="222822"/>
            </a:xfrm>
            <a:prstGeom prst="rect">
              <a:avLst/>
            </a:prstGeom>
            <a:solidFill>
              <a:srgbClr val="0000FF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fr-FR" sz="1100" b="1">
                  <a:solidFill>
                    <a:schemeClr val="bg1"/>
                  </a:solidFill>
                </a:rPr>
                <a:t>3</a:t>
              </a:r>
            </a:p>
          </xdr:txBody>
        </xdr:sp>
        <xdr:sp macro="" textlink="">
          <xdr:nvSpPr>
            <xdr:cNvPr id="13" name="ZoneTexte 12">
              <a:extLst>
                <a:ext uri="{FF2B5EF4-FFF2-40B4-BE49-F238E27FC236}">
                  <a16:creationId xmlns:a16="http://schemas.microsoft.com/office/drawing/2014/main" id="{D2E306FE-70A2-4C89-ABA0-3317F0D03CDB}"/>
                </a:ext>
              </a:extLst>
            </xdr:cNvPr>
            <xdr:cNvSpPr txBox="1"/>
          </xdr:nvSpPr>
          <xdr:spPr>
            <a:xfrm>
              <a:off x="2753753" y="4008120"/>
              <a:ext cx="289560" cy="222900"/>
            </a:xfrm>
            <a:prstGeom prst="rect">
              <a:avLst/>
            </a:prstGeom>
            <a:solidFill>
              <a:srgbClr val="0000FF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fr-FR" sz="1100" b="1">
                  <a:solidFill>
                    <a:schemeClr val="bg1"/>
                  </a:solidFill>
                </a:rPr>
                <a:t>4</a:t>
              </a:r>
            </a:p>
          </xdr:txBody>
        </xdr:sp>
        <xdr:sp macro="" textlink="">
          <xdr:nvSpPr>
            <xdr:cNvPr id="14" name="ZoneTexte 13">
              <a:extLst>
                <a:ext uri="{FF2B5EF4-FFF2-40B4-BE49-F238E27FC236}">
                  <a16:creationId xmlns:a16="http://schemas.microsoft.com/office/drawing/2014/main" id="{A808D4D3-4FC6-4E22-93E7-784AB5CF6DBD}"/>
                </a:ext>
              </a:extLst>
            </xdr:cNvPr>
            <xdr:cNvSpPr txBox="1"/>
          </xdr:nvSpPr>
          <xdr:spPr>
            <a:xfrm>
              <a:off x="3013252" y="5516880"/>
              <a:ext cx="289560" cy="222900"/>
            </a:xfrm>
            <a:prstGeom prst="rect">
              <a:avLst/>
            </a:prstGeom>
            <a:solidFill>
              <a:srgbClr val="0000FF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fr-FR" sz="1100" b="1">
                  <a:solidFill>
                    <a:schemeClr val="bg1"/>
                  </a:solidFill>
                </a:rPr>
                <a:t>5</a:t>
              </a:r>
            </a:p>
          </xdr:txBody>
        </xdr:sp>
        <xdr:sp macro="" textlink="">
          <xdr:nvSpPr>
            <xdr:cNvPr id="16" name="ZoneTexte 15">
              <a:extLst>
                <a:ext uri="{FF2B5EF4-FFF2-40B4-BE49-F238E27FC236}">
                  <a16:creationId xmlns:a16="http://schemas.microsoft.com/office/drawing/2014/main" id="{CF0C2BF0-5532-4EF8-8205-F98089FA150D}"/>
                </a:ext>
              </a:extLst>
            </xdr:cNvPr>
            <xdr:cNvSpPr txBox="1"/>
          </xdr:nvSpPr>
          <xdr:spPr>
            <a:xfrm>
              <a:off x="2799683" y="6743700"/>
              <a:ext cx="289560" cy="222900"/>
            </a:xfrm>
            <a:prstGeom prst="rect">
              <a:avLst/>
            </a:prstGeom>
            <a:solidFill>
              <a:srgbClr val="0000FF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fr-FR" sz="1100" b="1">
                  <a:solidFill>
                    <a:schemeClr val="bg1"/>
                  </a:solidFill>
                </a:rPr>
                <a:t>6</a:t>
              </a:r>
            </a:p>
          </xdr:txBody>
        </xdr:sp>
        <xdr:sp macro="" textlink="">
          <xdr:nvSpPr>
            <xdr:cNvPr id="17" name="ZoneTexte 16">
              <a:extLst>
                <a:ext uri="{FF2B5EF4-FFF2-40B4-BE49-F238E27FC236}">
                  <a16:creationId xmlns:a16="http://schemas.microsoft.com/office/drawing/2014/main" id="{463FCF12-7D1F-4195-BBE4-D4DE20828C27}"/>
                </a:ext>
              </a:extLst>
            </xdr:cNvPr>
            <xdr:cNvSpPr txBox="1"/>
          </xdr:nvSpPr>
          <xdr:spPr>
            <a:xfrm>
              <a:off x="3256253" y="6751320"/>
              <a:ext cx="289560" cy="222900"/>
            </a:xfrm>
            <a:prstGeom prst="rect">
              <a:avLst/>
            </a:prstGeom>
            <a:solidFill>
              <a:srgbClr val="0000FF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fr-FR" sz="1100" b="1">
                  <a:solidFill>
                    <a:schemeClr val="bg1"/>
                  </a:solidFill>
                </a:rPr>
                <a:t>7</a:t>
              </a:r>
            </a:p>
          </xdr:txBody>
        </xdr:sp>
        <xdr:sp macro="" textlink="">
          <xdr:nvSpPr>
            <xdr:cNvPr id="18" name="ZoneTexte 17">
              <a:extLst>
                <a:ext uri="{FF2B5EF4-FFF2-40B4-BE49-F238E27FC236}">
                  <a16:creationId xmlns:a16="http://schemas.microsoft.com/office/drawing/2014/main" id="{00C95087-D3C1-4D4F-98A2-1C0443DEA41F}"/>
                </a:ext>
              </a:extLst>
            </xdr:cNvPr>
            <xdr:cNvSpPr txBox="1"/>
          </xdr:nvSpPr>
          <xdr:spPr>
            <a:xfrm>
              <a:off x="2837364" y="5836920"/>
              <a:ext cx="289560" cy="222900"/>
            </a:xfrm>
            <a:prstGeom prst="rect">
              <a:avLst/>
            </a:prstGeom>
            <a:solidFill>
              <a:srgbClr val="0000FF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fr-FR" sz="1100" b="1">
                  <a:solidFill>
                    <a:schemeClr val="bg1"/>
                  </a:solidFill>
                </a:rPr>
                <a:t>8</a:t>
              </a:r>
            </a:p>
          </xdr:txBody>
        </xdr:sp>
      </xdr:grpSp>
      <xdr:sp macro="" textlink="">
        <xdr:nvSpPr>
          <xdr:cNvPr id="7" name="ZoneTexte 6">
            <a:extLst>
              <a:ext uri="{FF2B5EF4-FFF2-40B4-BE49-F238E27FC236}">
                <a16:creationId xmlns:a16="http://schemas.microsoft.com/office/drawing/2014/main" id="{D3946876-782E-428B-B24B-9613D0321B92}"/>
              </a:ext>
            </a:extLst>
          </xdr:cNvPr>
          <xdr:cNvSpPr txBox="1"/>
        </xdr:nvSpPr>
        <xdr:spPr>
          <a:xfrm>
            <a:off x="3744557" y="3612777"/>
            <a:ext cx="282857" cy="218513"/>
          </a:xfrm>
          <a:prstGeom prst="rect">
            <a:avLst/>
          </a:prstGeom>
          <a:solidFill>
            <a:srgbClr val="0000FF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fr-FR" sz="1100" b="1">
                <a:solidFill>
                  <a:schemeClr val="bg1"/>
                </a:solidFill>
              </a:rPr>
              <a:t>9</a:t>
            </a:r>
          </a:p>
        </xdr:txBody>
      </xdr:sp>
      <xdr:sp macro="" textlink="">
        <xdr:nvSpPr>
          <xdr:cNvPr id="8" name="ZoneTexte 7">
            <a:extLst>
              <a:ext uri="{FF2B5EF4-FFF2-40B4-BE49-F238E27FC236}">
                <a16:creationId xmlns:a16="http://schemas.microsoft.com/office/drawing/2014/main" id="{D2E1B677-7FD4-4E46-92C4-F5AAD1126BB6}"/>
              </a:ext>
            </a:extLst>
          </xdr:cNvPr>
          <xdr:cNvSpPr txBox="1"/>
        </xdr:nvSpPr>
        <xdr:spPr>
          <a:xfrm>
            <a:off x="4712299" y="4567069"/>
            <a:ext cx="373380" cy="218513"/>
          </a:xfrm>
          <a:prstGeom prst="rect">
            <a:avLst/>
          </a:prstGeom>
          <a:solidFill>
            <a:srgbClr val="0000FF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fr-FR" sz="1100" b="1">
                <a:solidFill>
                  <a:schemeClr val="bg1"/>
                </a:solidFill>
              </a:rPr>
              <a:t>10</a:t>
            </a:r>
          </a:p>
        </xdr:txBody>
      </xdr:sp>
      <xdr:sp macro="" textlink="">
        <xdr:nvSpPr>
          <xdr:cNvPr id="5121" name="AutoShape 1">
            <a:extLst>
              <a:ext uri="{FF2B5EF4-FFF2-40B4-BE49-F238E27FC236}">
                <a16:creationId xmlns:a16="http://schemas.microsoft.com/office/drawing/2014/main" id="{FAC23575-462C-98B5-EF59-825F67D94AD1}"/>
              </a:ext>
            </a:extLst>
          </xdr:cNvPr>
          <xdr:cNvSpPr>
            <a:spLocks noChangeAspect="1" noChangeArrowheads="1"/>
          </xdr:cNvSpPr>
        </xdr:nvSpPr>
        <xdr:spPr bwMode="auto">
          <a:xfrm>
            <a:off x="0" y="8247529"/>
            <a:ext cx="304800" cy="30121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5123" name="AutoShape 3">
            <a:extLst>
              <a:ext uri="{FF2B5EF4-FFF2-40B4-BE49-F238E27FC236}">
                <a16:creationId xmlns:a16="http://schemas.microsoft.com/office/drawing/2014/main" id="{488CD6A6-6B6E-5C1D-04CB-BAFDB23AB85B}"/>
              </a:ext>
            </a:extLst>
          </xdr:cNvPr>
          <xdr:cNvSpPr>
            <a:spLocks noChangeAspect="1" noChangeArrowheads="1"/>
          </xdr:cNvSpPr>
        </xdr:nvSpPr>
        <xdr:spPr bwMode="auto">
          <a:xfrm>
            <a:off x="1335741" y="8247529"/>
            <a:ext cx="304800" cy="30121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35859</xdr:colOff>
      <xdr:row>31</xdr:row>
      <xdr:rowOff>26895</xdr:rowOff>
    </xdr:from>
    <xdr:to>
      <xdr:col>4</xdr:col>
      <xdr:colOff>304802</xdr:colOff>
      <xdr:row>32</xdr:row>
      <xdr:rowOff>125507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88F583B8-59DB-F221-0595-D525E2AF246B}"/>
            </a:ext>
          </a:extLst>
        </xdr:cNvPr>
        <xdr:cNvSpPr txBox="1"/>
      </xdr:nvSpPr>
      <xdr:spPr>
        <a:xfrm>
          <a:off x="1371600" y="5764307"/>
          <a:ext cx="1846731" cy="27790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/>
            <a:t>Belt post-cristallisation (BP)</a:t>
          </a:r>
        </a:p>
      </xdr:txBody>
    </xdr:sp>
    <xdr:clientData/>
  </xdr:twoCellAnchor>
  <xdr:twoCellAnchor>
    <xdr:from>
      <xdr:col>5</xdr:col>
      <xdr:colOff>268940</xdr:colOff>
      <xdr:row>13</xdr:row>
      <xdr:rowOff>143435</xdr:rowOff>
    </xdr:from>
    <xdr:to>
      <xdr:col>7</xdr:col>
      <xdr:colOff>349623</xdr:colOff>
      <xdr:row>15</xdr:row>
      <xdr:rowOff>17929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FC1CAA23-7EE4-419D-9FFF-E70473E52B19}"/>
            </a:ext>
          </a:extLst>
        </xdr:cNvPr>
        <xdr:cNvSpPr txBox="1"/>
      </xdr:nvSpPr>
      <xdr:spPr>
        <a:xfrm>
          <a:off x="3971364" y="2653553"/>
          <a:ext cx="1658471" cy="2330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/>
            <a:t>Tour Tall Form</a:t>
          </a:r>
        </a:p>
      </xdr:txBody>
    </xdr:sp>
    <xdr:clientData/>
  </xdr:twoCellAnchor>
  <xdr:twoCellAnchor>
    <xdr:from>
      <xdr:col>4</xdr:col>
      <xdr:colOff>233083</xdr:colOff>
      <xdr:row>34</xdr:row>
      <xdr:rowOff>35859</xdr:rowOff>
    </xdr:from>
    <xdr:to>
      <xdr:col>6</xdr:col>
      <xdr:colOff>313765</xdr:colOff>
      <xdr:row>35</xdr:row>
      <xdr:rowOff>89647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DAE6BBE5-82D7-46D2-B6E7-1CD98B1FE78B}"/>
            </a:ext>
          </a:extLst>
        </xdr:cNvPr>
        <xdr:cNvSpPr txBox="1"/>
      </xdr:nvSpPr>
      <xdr:spPr>
        <a:xfrm>
          <a:off x="3146612" y="6311153"/>
          <a:ext cx="1658471" cy="2330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/>
            <a:t>Vibro_fluidiseur ( VF)</a:t>
          </a:r>
        </a:p>
      </xdr:txBody>
    </xdr:sp>
    <xdr:clientData/>
  </xdr:twoCellAnchor>
  <xdr:twoCellAnchor>
    <xdr:from>
      <xdr:col>7</xdr:col>
      <xdr:colOff>636495</xdr:colOff>
      <xdr:row>15</xdr:row>
      <xdr:rowOff>134470</xdr:rowOff>
    </xdr:from>
    <xdr:to>
      <xdr:col>10</xdr:col>
      <xdr:colOff>98613</xdr:colOff>
      <xdr:row>17</xdr:row>
      <xdr:rowOff>8964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72F58A30-A5AB-4E57-AA70-AABCBB8B6413}"/>
            </a:ext>
          </a:extLst>
        </xdr:cNvPr>
        <xdr:cNvSpPr txBox="1"/>
      </xdr:nvSpPr>
      <xdr:spPr>
        <a:xfrm>
          <a:off x="5916707" y="3003176"/>
          <a:ext cx="1828800" cy="2330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/>
            <a:t>Filtre à manches - Bag Filter</a:t>
          </a:r>
        </a:p>
      </xdr:txBody>
    </xdr:sp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10-04T09:50:32.801"/>
    </inkml:context>
    <inkml:brush xml:id="br0">
      <inkml:brushProperty name="width" value="0.3" units="cm"/>
      <inkml:brushProperty name="height" value="0.6" units="cm"/>
      <inkml:brushProperty name="color" value="#FFFC00"/>
      <inkml:brushProperty name="tip" value="rectangle"/>
      <inkml:brushProperty name="rasterOp" value="maskPen"/>
      <inkml:brushProperty name="ignorePressure" value="1"/>
    </inkml:brush>
  </inkml:definitions>
  <inkml:trace contextRef="#ctx0" brushRef="#br0">1 37,'2717'0,"-2399"-19,20 1,1951 21,-1175-5,-1048 2,-55 0</inkml:trace>
</inkml: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9B77E-7F90-431F-946A-57B8945CE9BA}">
  <sheetPr codeName="Feuil1">
    <tabColor rgb="FF0000FF"/>
  </sheetPr>
  <dimension ref="B2:L338"/>
  <sheetViews>
    <sheetView showGridLines="0" tabSelected="1" zoomScale="110" zoomScaleNormal="110" workbookViewId="0">
      <selection activeCell="K256" sqref="K256"/>
    </sheetView>
  </sheetViews>
  <sheetFormatPr baseColWidth="10" defaultRowHeight="15.6" x14ac:dyDescent="0.3"/>
  <cols>
    <col min="1" max="1" width="10.88671875" style="293" customWidth="1"/>
    <col min="2" max="7" width="11.5546875" style="293"/>
    <col min="8" max="8" width="15.33203125" style="293" customWidth="1"/>
    <col min="9" max="9" width="12.21875" style="293" customWidth="1"/>
    <col min="10" max="16384" width="11.5546875" style="293"/>
  </cols>
  <sheetData>
    <row r="2" spans="2:2" ht="17.399999999999999" x14ac:dyDescent="0.3">
      <c r="B2" s="312" t="s">
        <v>167</v>
      </c>
    </row>
    <row r="3" spans="2:2" ht="17.399999999999999" x14ac:dyDescent="0.3">
      <c r="B3" s="312" t="s">
        <v>220</v>
      </c>
    </row>
    <row r="4" spans="2:2" ht="17.399999999999999" x14ac:dyDescent="0.3">
      <c r="B4" s="312"/>
    </row>
    <row r="5" spans="2:2" ht="21.6" customHeight="1" x14ac:dyDescent="0.3">
      <c r="B5" s="325" t="s">
        <v>212</v>
      </c>
    </row>
    <row r="6" spans="2:2" x14ac:dyDescent="0.3">
      <c r="B6" s="2" t="s">
        <v>182</v>
      </c>
    </row>
    <row r="7" spans="2:2" x14ac:dyDescent="0.3">
      <c r="B7" s="2" t="s">
        <v>168</v>
      </c>
    </row>
    <row r="8" spans="2:2" x14ac:dyDescent="0.3">
      <c r="B8" s="2" t="s">
        <v>181</v>
      </c>
    </row>
    <row r="9" spans="2:2" x14ac:dyDescent="0.3">
      <c r="B9" s="2" t="s">
        <v>303</v>
      </c>
    </row>
    <row r="10" spans="2:2" x14ac:dyDescent="0.3">
      <c r="B10" s="2" t="s">
        <v>169</v>
      </c>
    </row>
    <row r="11" spans="2:2" x14ac:dyDescent="0.3">
      <c r="B11" s="2" t="s">
        <v>197</v>
      </c>
    </row>
    <row r="12" spans="2:2" x14ac:dyDescent="0.3">
      <c r="B12" s="2" t="s">
        <v>170</v>
      </c>
    </row>
    <row r="13" spans="2:2" x14ac:dyDescent="0.3">
      <c r="B13" s="2" t="s">
        <v>210</v>
      </c>
    </row>
    <row r="14" spans="2:2" x14ac:dyDescent="0.3">
      <c r="B14" s="2" t="s">
        <v>211</v>
      </c>
    </row>
    <row r="15" spans="2:2" x14ac:dyDescent="0.3">
      <c r="B15" s="2" t="s">
        <v>198</v>
      </c>
    </row>
    <row r="17" spans="2:2" x14ac:dyDescent="0.3">
      <c r="B17" s="324" t="s">
        <v>214</v>
      </c>
    </row>
    <row r="47" spans="2:2" x14ac:dyDescent="0.3">
      <c r="B47" s="324" t="s">
        <v>215</v>
      </c>
    </row>
    <row r="68" spans="2:2" x14ac:dyDescent="0.3">
      <c r="B68" s="323" t="s">
        <v>199</v>
      </c>
    </row>
    <row r="69" spans="2:2" x14ac:dyDescent="0.3">
      <c r="B69" s="323" t="s">
        <v>200</v>
      </c>
    </row>
    <row r="70" spans="2:2" x14ac:dyDescent="0.3">
      <c r="B70" s="323" t="s">
        <v>258</v>
      </c>
    </row>
    <row r="71" spans="2:2" x14ac:dyDescent="0.3">
      <c r="B71" s="323"/>
    </row>
    <row r="93" spans="2:9" s="315" customFormat="1" ht="15" x14ac:dyDescent="0.25">
      <c r="B93" s="324" t="s">
        <v>217</v>
      </c>
      <c r="C93" s="2"/>
      <c r="D93" s="2"/>
      <c r="E93" s="2"/>
      <c r="F93" s="2"/>
      <c r="G93" s="2"/>
      <c r="H93" s="2"/>
      <c r="I93" s="2"/>
    </row>
    <row r="94" spans="2:9" s="315" customFormat="1" ht="15" x14ac:dyDescent="0.25">
      <c r="B94" s="313"/>
      <c r="C94" s="2"/>
      <c r="D94" s="2"/>
      <c r="E94" s="2"/>
      <c r="F94" s="2"/>
      <c r="G94" s="2"/>
      <c r="H94" s="2"/>
      <c r="I94" s="2"/>
    </row>
    <row r="95" spans="2:9" s="315" customFormat="1" ht="15" x14ac:dyDescent="0.25">
      <c r="B95" s="314" t="s">
        <v>195</v>
      </c>
      <c r="C95" s="2"/>
      <c r="D95" s="2"/>
      <c r="E95" s="2"/>
      <c r="F95" s="2"/>
      <c r="G95" s="2"/>
      <c r="H95" s="2"/>
      <c r="I95" s="2"/>
    </row>
    <row r="96" spans="2:9" s="315" customFormat="1" ht="15" x14ac:dyDescent="0.25">
      <c r="B96" s="314" t="s">
        <v>183</v>
      </c>
      <c r="C96" s="2"/>
      <c r="D96" s="2"/>
      <c r="E96" s="2"/>
      <c r="F96" s="2"/>
      <c r="G96" s="2"/>
      <c r="H96" s="2"/>
      <c r="I96" s="2"/>
    </row>
    <row r="97" spans="2:9" s="315" customFormat="1" ht="15" x14ac:dyDescent="0.25">
      <c r="B97" s="314" t="s">
        <v>207</v>
      </c>
      <c r="C97" s="2"/>
      <c r="D97" s="2"/>
      <c r="E97" s="2"/>
      <c r="F97" s="2"/>
      <c r="G97" s="2"/>
      <c r="H97" s="2"/>
      <c r="I97" s="2"/>
    </row>
    <row r="98" spans="2:9" s="315" customFormat="1" ht="15" x14ac:dyDescent="0.25">
      <c r="B98" s="314" t="s">
        <v>184</v>
      </c>
      <c r="C98" s="2"/>
      <c r="D98" s="2"/>
      <c r="E98" s="2"/>
      <c r="F98" s="2"/>
      <c r="G98" s="2"/>
      <c r="H98" s="2"/>
      <c r="I98" s="2"/>
    </row>
    <row r="99" spans="2:9" s="315" customFormat="1" ht="15" x14ac:dyDescent="0.25">
      <c r="B99" s="314" t="s">
        <v>185</v>
      </c>
      <c r="C99" s="2"/>
      <c r="D99" s="2"/>
      <c r="E99" s="2"/>
      <c r="F99" s="2"/>
      <c r="G99" s="2"/>
      <c r="H99" s="2"/>
      <c r="I99" s="2"/>
    </row>
    <row r="100" spans="2:9" s="315" customFormat="1" ht="15" x14ac:dyDescent="0.25">
      <c r="B100" s="314" t="s">
        <v>186</v>
      </c>
      <c r="C100" s="2"/>
      <c r="D100" s="2"/>
      <c r="E100" s="2"/>
      <c r="F100" s="2"/>
      <c r="G100" s="2"/>
      <c r="H100" s="2"/>
      <c r="I100" s="2"/>
    </row>
    <row r="101" spans="2:9" s="315" customFormat="1" ht="15" x14ac:dyDescent="0.25">
      <c r="B101" s="314" t="s">
        <v>218</v>
      </c>
      <c r="C101" s="2"/>
      <c r="D101" s="2"/>
      <c r="E101" s="2"/>
      <c r="F101" s="2"/>
      <c r="G101" s="2"/>
      <c r="H101" s="2"/>
      <c r="I101" s="2"/>
    </row>
    <row r="102" spans="2:9" s="315" customFormat="1" ht="15" x14ac:dyDescent="0.25">
      <c r="B102" s="314" t="s">
        <v>165</v>
      </c>
      <c r="C102" s="2"/>
      <c r="D102" s="2"/>
      <c r="E102" s="2"/>
      <c r="F102" s="2"/>
      <c r="G102" s="2"/>
      <c r="H102" s="2"/>
      <c r="I102" s="2"/>
    </row>
    <row r="103" spans="2:9" s="315" customFormat="1" ht="15" x14ac:dyDescent="0.25">
      <c r="B103" s="314" t="s">
        <v>166</v>
      </c>
      <c r="C103" s="2"/>
      <c r="D103" s="2"/>
      <c r="E103" s="2"/>
      <c r="F103" s="2"/>
      <c r="G103" s="2"/>
      <c r="H103" s="2"/>
      <c r="I103" s="2"/>
    </row>
    <row r="104" spans="2:9" s="315" customFormat="1" ht="15" x14ac:dyDescent="0.25">
      <c r="B104" s="2"/>
      <c r="C104" s="2"/>
      <c r="D104" s="2"/>
      <c r="E104" s="2"/>
      <c r="F104" s="2"/>
      <c r="G104" s="2"/>
      <c r="H104" s="2"/>
      <c r="I104" s="2"/>
    </row>
    <row r="105" spans="2:9" s="315" customFormat="1" ht="15" x14ac:dyDescent="0.25">
      <c r="B105" s="317" t="s">
        <v>172</v>
      </c>
      <c r="C105" s="428" t="s">
        <v>286</v>
      </c>
      <c r="D105" s="2"/>
      <c r="E105" s="2"/>
      <c r="F105" s="2"/>
      <c r="G105" s="2"/>
      <c r="H105" s="2"/>
      <c r="I105" s="2"/>
    </row>
    <row r="106" spans="2:9" s="315" customFormat="1" ht="15" x14ac:dyDescent="0.25">
      <c r="B106" s="2"/>
      <c r="C106" s="2"/>
      <c r="D106" s="2"/>
      <c r="E106" s="2"/>
      <c r="F106" s="2"/>
      <c r="G106" s="2"/>
      <c r="H106" s="2"/>
      <c r="I106" s="2"/>
    </row>
    <row r="107" spans="2:9" s="315" customFormat="1" ht="15" x14ac:dyDescent="0.25">
      <c r="B107" s="2" t="s">
        <v>171</v>
      </c>
      <c r="C107" s="2"/>
      <c r="D107" s="2"/>
      <c r="E107" s="2"/>
      <c r="F107" s="2"/>
      <c r="G107" s="2"/>
      <c r="H107" s="2"/>
      <c r="I107" s="2"/>
    </row>
    <row r="108" spans="2:9" s="315" customFormat="1" ht="15" x14ac:dyDescent="0.25">
      <c r="B108" s="2" t="s">
        <v>239</v>
      </c>
      <c r="C108" s="2"/>
      <c r="D108" s="2"/>
      <c r="E108" s="2"/>
      <c r="F108" s="2"/>
      <c r="G108" s="2"/>
      <c r="H108" s="2"/>
      <c r="I108" s="2"/>
    </row>
    <row r="109" spans="2:9" s="315" customFormat="1" ht="15" x14ac:dyDescent="0.25">
      <c r="B109" s="2" t="s">
        <v>292</v>
      </c>
      <c r="C109" s="2"/>
      <c r="D109" s="2"/>
      <c r="E109" s="2"/>
      <c r="F109" s="2"/>
      <c r="G109" s="2"/>
      <c r="H109" s="2"/>
      <c r="I109" s="2"/>
    </row>
    <row r="110" spans="2:9" s="315" customFormat="1" ht="15" x14ac:dyDescent="0.25">
      <c r="B110" s="2"/>
      <c r="C110" s="2"/>
      <c r="D110" s="2"/>
      <c r="E110" s="2"/>
      <c r="F110" s="2"/>
      <c r="G110" s="2"/>
      <c r="H110" s="2"/>
      <c r="I110" s="2"/>
    </row>
    <row r="111" spans="2:9" s="315" customFormat="1" ht="15" x14ac:dyDescent="0.25">
      <c r="B111" s="318" t="s">
        <v>152</v>
      </c>
      <c r="C111" s="2"/>
      <c r="D111" s="2"/>
      <c r="E111" s="2"/>
      <c r="F111" s="2"/>
      <c r="G111" s="2"/>
      <c r="H111" s="2"/>
      <c r="I111" s="2"/>
    </row>
    <row r="112" spans="2:9" s="315" customFormat="1" ht="15" x14ac:dyDescent="0.25">
      <c r="B112" s="2"/>
      <c r="C112" s="2"/>
      <c r="D112" s="2"/>
      <c r="E112" s="2"/>
      <c r="F112" s="2"/>
      <c r="G112" s="2"/>
      <c r="H112" s="2"/>
      <c r="I112" s="2"/>
    </row>
    <row r="113" spans="2:9" s="315" customFormat="1" ht="15" x14ac:dyDescent="0.25">
      <c r="B113" s="2" t="s">
        <v>173</v>
      </c>
      <c r="C113" s="2"/>
      <c r="D113" s="2"/>
      <c r="E113" s="2"/>
      <c r="F113" s="2"/>
      <c r="G113" s="2"/>
      <c r="H113" s="2"/>
      <c r="I113" s="2"/>
    </row>
    <row r="114" spans="2:9" s="315" customFormat="1" ht="15" x14ac:dyDescent="0.25">
      <c r="B114" s="2" t="s">
        <v>180</v>
      </c>
      <c r="C114" s="2"/>
      <c r="D114" s="2"/>
      <c r="E114" s="2"/>
      <c r="F114" s="2"/>
      <c r="G114" s="2"/>
      <c r="H114" s="2"/>
      <c r="I114" s="2"/>
    </row>
    <row r="115" spans="2:9" s="315" customFormat="1" ht="15" x14ac:dyDescent="0.25">
      <c r="B115" s="2"/>
      <c r="C115" s="2"/>
      <c r="D115" s="2"/>
      <c r="E115" s="2"/>
      <c r="F115" s="2"/>
      <c r="G115" s="2"/>
      <c r="H115" s="2"/>
      <c r="I115" s="2"/>
    </row>
    <row r="116" spans="2:9" s="315" customFormat="1" ht="15" x14ac:dyDescent="0.25">
      <c r="B116" s="2" t="s">
        <v>174</v>
      </c>
      <c r="C116" s="2"/>
      <c r="D116" s="2"/>
      <c r="E116" s="2"/>
      <c r="F116" s="2"/>
      <c r="G116" s="2"/>
      <c r="H116" s="2"/>
      <c r="I116" s="2"/>
    </row>
    <row r="117" spans="2:9" s="315" customFormat="1" ht="15" x14ac:dyDescent="0.25">
      <c r="B117" s="2" t="s">
        <v>175</v>
      </c>
      <c r="C117" s="2"/>
      <c r="D117" s="2"/>
      <c r="E117" s="2"/>
      <c r="F117" s="2"/>
      <c r="G117" s="2"/>
      <c r="H117" s="2"/>
      <c r="I117" s="2"/>
    </row>
    <row r="118" spans="2:9" s="315" customFormat="1" ht="15" x14ac:dyDescent="0.25">
      <c r="B118" s="316" t="s">
        <v>190</v>
      </c>
      <c r="C118" s="2"/>
      <c r="D118" s="2"/>
      <c r="E118" s="2"/>
      <c r="F118" s="2"/>
      <c r="G118" s="2"/>
      <c r="H118" s="2"/>
      <c r="I118" s="2"/>
    </row>
    <row r="119" spans="2:9" s="315" customFormat="1" ht="15" x14ac:dyDescent="0.25">
      <c r="B119" s="2" t="s">
        <v>187</v>
      </c>
      <c r="C119" s="2"/>
      <c r="D119" s="2"/>
      <c r="E119" s="2"/>
      <c r="F119" s="2"/>
      <c r="G119" s="2"/>
      <c r="H119" s="2"/>
      <c r="I119" s="2"/>
    </row>
    <row r="120" spans="2:9" s="315" customFormat="1" ht="15" x14ac:dyDescent="0.25">
      <c r="B120" s="2" t="s">
        <v>208</v>
      </c>
      <c r="C120" s="2"/>
      <c r="D120" s="2"/>
      <c r="E120" s="2"/>
      <c r="F120" s="2"/>
      <c r="G120" s="2"/>
      <c r="H120" s="2"/>
      <c r="I120" s="2"/>
    </row>
    <row r="121" spans="2:9" s="315" customFormat="1" ht="15" x14ac:dyDescent="0.25">
      <c r="B121" s="2"/>
      <c r="C121" s="2"/>
      <c r="D121" s="2"/>
      <c r="E121" s="2"/>
      <c r="F121" s="2"/>
      <c r="G121" s="2"/>
      <c r="H121" s="2"/>
      <c r="I121" s="2"/>
    </row>
    <row r="122" spans="2:9" s="315" customFormat="1" ht="15" x14ac:dyDescent="0.25">
      <c r="B122" s="2" t="s">
        <v>301</v>
      </c>
      <c r="C122" s="2"/>
      <c r="D122" s="2"/>
      <c r="E122" s="2"/>
      <c r="F122" s="2"/>
      <c r="G122" s="2"/>
      <c r="H122" s="2"/>
      <c r="I122" s="2"/>
    </row>
    <row r="123" spans="2:9" s="315" customFormat="1" ht="15" x14ac:dyDescent="0.25">
      <c r="B123" s="2" t="s">
        <v>219</v>
      </c>
      <c r="C123" s="2"/>
      <c r="D123" s="2"/>
      <c r="E123" s="2"/>
      <c r="F123" s="2"/>
      <c r="G123" s="2"/>
      <c r="H123" s="2"/>
      <c r="I123" s="2"/>
    </row>
    <row r="124" spans="2:9" s="315" customFormat="1" ht="15" x14ac:dyDescent="0.25">
      <c r="B124" s="2"/>
      <c r="C124" s="2"/>
      <c r="D124" s="2"/>
      <c r="E124" s="2"/>
      <c r="F124" s="2"/>
      <c r="G124" s="2"/>
      <c r="H124" s="2"/>
      <c r="I124" s="2"/>
    </row>
    <row r="125" spans="2:9" s="315" customFormat="1" ht="15" x14ac:dyDescent="0.25">
      <c r="B125" s="2" t="s">
        <v>234</v>
      </c>
      <c r="C125" s="2"/>
      <c r="D125" s="2"/>
      <c r="E125" s="2"/>
      <c r="F125" s="2"/>
      <c r="G125" s="2"/>
      <c r="H125" s="2"/>
      <c r="I125" s="2"/>
    </row>
    <row r="126" spans="2:9" s="315" customFormat="1" ht="15" x14ac:dyDescent="0.25">
      <c r="B126" s="2"/>
      <c r="C126" s="2"/>
      <c r="D126" s="2"/>
      <c r="E126" s="2"/>
      <c r="F126" s="2"/>
      <c r="G126" s="2"/>
      <c r="H126" s="2"/>
      <c r="I126" s="2"/>
    </row>
    <row r="127" spans="2:9" s="315" customFormat="1" ht="15" x14ac:dyDescent="0.25">
      <c r="B127" s="2" t="s">
        <v>191</v>
      </c>
      <c r="C127" s="2"/>
      <c r="D127" s="2"/>
      <c r="E127" s="2"/>
      <c r="F127" s="2"/>
      <c r="G127" s="2"/>
      <c r="H127" s="2"/>
      <c r="I127" s="2"/>
    </row>
    <row r="128" spans="2:9" s="315" customFormat="1" ht="15" x14ac:dyDescent="0.25">
      <c r="B128" s="2"/>
      <c r="C128" s="2"/>
      <c r="D128" s="2"/>
      <c r="E128" s="2"/>
      <c r="F128" s="2"/>
      <c r="G128" s="2"/>
      <c r="H128" s="2"/>
      <c r="I128" s="2"/>
    </row>
    <row r="129" spans="2:9" s="315" customFormat="1" ht="15" x14ac:dyDescent="0.25">
      <c r="B129" s="2" t="s">
        <v>192</v>
      </c>
      <c r="C129" s="2"/>
      <c r="D129" s="2"/>
      <c r="E129" s="2"/>
      <c r="F129" s="2"/>
      <c r="G129" s="2"/>
      <c r="H129" s="2"/>
      <c r="I129" s="2"/>
    </row>
    <row r="130" spans="2:9" s="315" customFormat="1" ht="15" x14ac:dyDescent="0.25">
      <c r="B130" s="2" t="s">
        <v>176</v>
      </c>
      <c r="C130" s="2"/>
      <c r="D130" s="2"/>
      <c r="E130" s="2"/>
      <c r="F130" s="2"/>
      <c r="G130" s="2"/>
      <c r="H130" s="2"/>
      <c r="I130" s="2"/>
    </row>
    <row r="131" spans="2:9" s="315" customFormat="1" ht="15" x14ac:dyDescent="0.25">
      <c r="B131" s="2" t="s">
        <v>177</v>
      </c>
      <c r="C131" s="2"/>
      <c r="D131" s="2"/>
      <c r="E131" s="2"/>
      <c r="F131" s="2"/>
      <c r="G131" s="2"/>
      <c r="H131" s="2"/>
      <c r="I131" s="2"/>
    </row>
    <row r="132" spans="2:9" s="315" customFormat="1" ht="15" x14ac:dyDescent="0.25">
      <c r="B132" s="2" t="s">
        <v>209</v>
      </c>
      <c r="C132" s="2"/>
      <c r="D132" s="2"/>
      <c r="E132" s="2"/>
      <c r="F132" s="2"/>
      <c r="G132" s="2"/>
      <c r="H132" s="2"/>
      <c r="I132" s="2"/>
    </row>
    <row r="133" spans="2:9" s="315" customFormat="1" ht="15" x14ac:dyDescent="0.25">
      <c r="B133" s="2"/>
      <c r="C133" s="2"/>
      <c r="D133" s="2"/>
      <c r="E133" s="2"/>
      <c r="F133" s="2"/>
      <c r="G133" s="2"/>
      <c r="H133" s="2"/>
      <c r="I133" s="2"/>
    </row>
    <row r="134" spans="2:9" s="315" customFormat="1" ht="15" x14ac:dyDescent="0.25">
      <c r="B134" s="2" t="s">
        <v>193</v>
      </c>
      <c r="C134" s="2"/>
      <c r="D134" s="2"/>
      <c r="E134" s="2"/>
      <c r="F134" s="2"/>
      <c r="G134" s="2"/>
      <c r="H134" s="2"/>
      <c r="I134" s="2"/>
    </row>
    <row r="135" spans="2:9" s="315" customFormat="1" ht="15" x14ac:dyDescent="0.25">
      <c r="B135" s="2" t="s">
        <v>196</v>
      </c>
      <c r="C135" s="2"/>
      <c r="D135" s="2"/>
      <c r="E135" s="2"/>
      <c r="F135" s="2"/>
      <c r="G135" s="2"/>
      <c r="H135" s="2"/>
      <c r="I135" s="2"/>
    </row>
    <row r="136" spans="2:9" s="315" customFormat="1" ht="15" x14ac:dyDescent="0.25">
      <c r="B136" s="2"/>
      <c r="C136" s="2"/>
      <c r="D136" s="2"/>
      <c r="E136" s="2"/>
      <c r="F136" s="2"/>
      <c r="G136" s="2"/>
      <c r="H136" s="2"/>
      <c r="I136" s="2"/>
    </row>
    <row r="137" spans="2:9" s="315" customFormat="1" ht="15" x14ac:dyDescent="0.25">
      <c r="B137" s="2" t="s">
        <v>194</v>
      </c>
      <c r="C137" s="2"/>
      <c r="D137" s="2"/>
      <c r="E137" s="2"/>
      <c r="F137" s="2"/>
      <c r="G137" s="2"/>
      <c r="H137" s="2"/>
      <c r="I137" s="2"/>
    </row>
    <row r="138" spans="2:9" s="315" customFormat="1" ht="15" x14ac:dyDescent="0.25">
      <c r="B138" s="2"/>
      <c r="C138" s="2"/>
      <c r="D138" s="2"/>
      <c r="E138" s="2"/>
      <c r="F138" s="2"/>
      <c r="G138" s="2"/>
      <c r="H138" s="2"/>
      <c r="I138" s="2"/>
    </row>
    <row r="139" spans="2:9" s="315" customFormat="1" ht="15" x14ac:dyDescent="0.25">
      <c r="B139" s="2" t="s">
        <v>302</v>
      </c>
      <c r="C139" s="2"/>
      <c r="D139" s="2"/>
      <c r="E139" s="2"/>
      <c r="F139" s="2"/>
      <c r="G139" s="2"/>
      <c r="H139" s="2"/>
      <c r="I139" s="2"/>
    </row>
    <row r="140" spans="2:9" s="315" customFormat="1" ht="15" x14ac:dyDescent="0.25">
      <c r="B140" s="2"/>
      <c r="C140" s="2"/>
      <c r="D140" s="2"/>
      <c r="E140" s="2"/>
      <c r="F140" s="2"/>
      <c r="G140" s="2"/>
      <c r="H140" s="2"/>
      <c r="I140" s="2"/>
    </row>
    <row r="141" spans="2:9" s="315" customFormat="1" ht="15" x14ac:dyDescent="0.25">
      <c r="B141" s="2" t="s">
        <v>178</v>
      </c>
      <c r="C141" s="2"/>
      <c r="D141" s="2"/>
      <c r="E141" s="2"/>
      <c r="F141" s="2"/>
      <c r="G141" s="2"/>
      <c r="H141" s="2"/>
      <c r="I141" s="2"/>
    </row>
    <row r="142" spans="2:9" s="315" customFormat="1" ht="15" x14ac:dyDescent="0.25"/>
    <row r="143" spans="2:9" s="315" customFormat="1" ht="15" x14ac:dyDescent="0.25">
      <c r="B143" s="2" t="s">
        <v>155</v>
      </c>
      <c r="C143" s="316"/>
    </row>
    <row r="144" spans="2:9" s="315" customFormat="1" ht="15" x14ac:dyDescent="0.25">
      <c r="B144" s="2" t="s">
        <v>156</v>
      </c>
      <c r="C144" s="316"/>
    </row>
    <row r="145" spans="2:12" s="315" customFormat="1" ht="15" x14ac:dyDescent="0.25">
      <c r="B145" s="2" t="s">
        <v>157</v>
      </c>
      <c r="C145" s="316"/>
    </row>
    <row r="146" spans="2:12" s="315" customFormat="1" ht="15" x14ac:dyDescent="0.25">
      <c r="B146" s="2" t="s">
        <v>158</v>
      </c>
      <c r="C146" s="316"/>
    </row>
    <row r="147" spans="2:12" s="315" customFormat="1" ht="15" x14ac:dyDescent="0.25">
      <c r="B147" s="2"/>
      <c r="C147" s="2"/>
    </row>
    <row r="148" spans="2:12" s="315" customFormat="1" ht="15" x14ac:dyDescent="0.25">
      <c r="B148" s="2" t="s">
        <v>179</v>
      </c>
      <c r="C148" s="2"/>
    </row>
    <row r="149" spans="2:12" s="315" customFormat="1" ht="15" x14ac:dyDescent="0.25">
      <c r="B149" s="2" t="s">
        <v>159</v>
      </c>
      <c r="C149" s="2"/>
    </row>
    <row r="150" spans="2:12" s="315" customFormat="1" ht="15" x14ac:dyDescent="0.25">
      <c r="B150" s="2" t="s">
        <v>160</v>
      </c>
      <c r="C150" s="2"/>
    </row>
    <row r="151" spans="2:12" s="315" customFormat="1" ht="15" x14ac:dyDescent="0.25">
      <c r="B151" s="2" t="s">
        <v>161</v>
      </c>
      <c r="C151" s="2"/>
    </row>
    <row r="152" spans="2:12" s="315" customFormat="1" ht="15" x14ac:dyDescent="0.25">
      <c r="B152" s="2"/>
      <c r="C152" s="2"/>
    </row>
    <row r="153" spans="2:12" s="315" customFormat="1" ht="15" x14ac:dyDescent="0.25">
      <c r="B153" s="2" t="s">
        <v>188</v>
      </c>
    </row>
    <row r="154" spans="2:12" s="315" customFormat="1" x14ac:dyDescent="0.3">
      <c r="B154" s="2" t="s">
        <v>189</v>
      </c>
      <c r="C154"/>
      <c r="D154"/>
      <c r="E154"/>
      <c r="F154"/>
      <c r="G154"/>
      <c r="H154"/>
      <c r="I154"/>
      <c r="J154"/>
      <c r="K154"/>
      <c r="L154"/>
    </row>
    <row r="155" spans="2:12" x14ac:dyDescent="0.3">
      <c r="B155"/>
      <c r="C155"/>
      <c r="D155"/>
      <c r="E155"/>
      <c r="F155"/>
      <c r="G155"/>
      <c r="H155"/>
      <c r="I155"/>
      <c r="J155"/>
      <c r="K155"/>
      <c r="L155"/>
    </row>
    <row r="156" spans="2:12" x14ac:dyDescent="0.3">
      <c r="B156" s="324" t="s">
        <v>232</v>
      </c>
      <c r="C156"/>
      <c r="D156"/>
      <c r="E156"/>
      <c r="F156"/>
      <c r="G156"/>
      <c r="H156"/>
      <c r="I156"/>
      <c r="J156"/>
      <c r="K156"/>
      <c r="L156"/>
    </row>
    <row r="157" spans="2:12" x14ac:dyDescent="0.3">
      <c r="B157"/>
      <c r="C157"/>
      <c r="D157"/>
      <c r="E157"/>
      <c r="F157"/>
      <c r="G157"/>
      <c r="H157"/>
      <c r="I157"/>
      <c r="J157"/>
      <c r="K157"/>
      <c r="L157"/>
    </row>
    <row r="158" spans="2:12" x14ac:dyDescent="0.3">
      <c r="B158"/>
      <c r="C158"/>
      <c r="D158"/>
      <c r="E158"/>
      <c r="F158"/>
      <c r="G158"/>
      <c r="H158"/>
      <c r="I158"/>
      <c r="J158"/>
      <c r="K158"/>
      <c r="L158"/>
    </row>
    <row r="159" spans="2:12" x14ac:dyDescent="0.3">
      <c r="B159"/>
      <c r="C159"/>
      <c r="D159"/>
      <c r="E159"/>
      <c r="F159"/>
      <c r="G159"/>
      <c r="H159"/>
      <c r="I159"/>
      <c r="J159"/>
      <c r="K159"/>
      <c r="L159"/>
    </row>
    <row r="160" spans="2:12" x14ac:dyDescent="0.3">
      <c r="B160"/>
      <c r="C160"/>
      <c r="D160"/>
      <c r="E160"/>
      <c r="F160"/>
      <c r="G160"/>
      <c r="H160"/>
      <c r="I160"/>
      <c r="J160"/>
      <c r="K160"/>
      <c r="L160"/>
    </row>
    <row r="161" spans="2:12" x14ac:dyDescent="0.3">
      <c r="B161"/>
      <c r="C161"/>
      <c r="D161"/>
      <c r="E161"/>
      <c r="F161"/>
      <c r="G161"/>
      <c r="H161"/>
      <c r="I161"/>
      <c r="J161"/>
      <c r="K161"/>
      <c r="L161"/>
    </row>
    <row r="162" spans="2:12" x14ac:dyDescent="0.3">
      <c r="B162"/>
      <c r="C162"/>
      <c r="D162"/>
      <c r="E162"/>
      <c r="F162"/>
      <c r="G162"/>
      <c r="H162"/>
      <c r="I162"/>
      <c r="J162"/>
      <c r="K162"/>
      <c r="L162"/>
    </row>
    <row r="163" spans="2:12" x14ac:dyDescent="0.3">
      <c r="B163"/>
      <c r="C163"/>
      <c r="D163"/>
      <c r="E163"/>
      <c r="F163"/>
      <c r="G163"/>
      <c r="H163"/>
      <c r="I163"/>
      <c r="J163"/>
      <c r="K163"/>
      <c r="L163"/>
    </row>
    <row r="164" spans="2:12" x14ac:dyDescent="0.3">
      <c r="B164"/>
      <c r="C164"/>
      <c r="D164"/>
      <c r="E164"/>
      <c r="F164"/>
      <c r="G164"/>
      <c r="H164"/>
      <c r="I164"/>
      <c r="J164"/>
      <c r="K164"/>
      <c r="L164"/>
    </row>
    <row r="165" spans="2:12" x14ac:dyDescent="0.3">
      <c r="B165"/>
      <c r="C165"/>
      <c r="D165"/>
      <c r="E165"/>
      <c r="F165"/>
      <c r="G165"/>
      <c r="H165"/>
      <c r="I165"/>
      <c r="J165"/>
      <c r="K165"/>
      <c r="L165"/>
    </row>
    <row r="166" spans="2:12" x14ac:dyDescent="0.3">
      <c r="B166"/>
      <c r="C166"/>
      <c r="D166"/>
      <c r="E166"/>
      <c r="F166"/>
      <c r="G166"/>
      <c r="H166"/>
      <c r="I166"/>
      <c r="J166"/>
      <c r="K166"/>
      <c r="L166"/>
    </row>
    <row r="167" spans="2:12" x14ac:dyDescent="0.3">
      <c r="B167"/>
      <c r="C167"/>
      <c r="D167"/>
      <c r="E167"/>
      <c r="F167"/>
      <c r="G167"/>
      <c r="H167"/>
      <c r="I167"/>
      <c r="J167"/>
      <c r="K167"/>
      <c r="L167"/>
    </row>
    <row r="168" spans="2:12" x14ac:dyDescent="0.3">
      <c r="B168"/>
      <c r="C168"/>
      <c r="D168"/>
      <c r="E168"/>
      <c r="F168"/>
      <c r="G168"/>
      <c r="H168"/>
      <c r="I168"/>
      <c r="J168"/>
      <c r="K168"/>
      <c r="L168"/>
    </row>
    <row r="169" spans="2:12" x14ac:dyDescent="0.3">
      <c r="B169"/>
      <c r="C169"/>
      <c r="D169"/>
      <c r="E169"/>
      <c r="F169"/>
      <c r="G169"/>
      <c r="H169"/>
      <c r="I169"/>
      <c r="J169"/>
      <c r="K169"/>
      <c r="L169"/>
    </row>
    <row r="170" spans="2:12" x14ac:dyDescent="0.3">
      <c r="B170"/>
      <c r="C170"/>
      <c r="D170"/>
      <c r="E170"/>
      <c r="F170"/>
      <c r="G170"/>
      <c r="H170"/>
      <c r="I170"/>
      <c r="J170"/>
      <c r="K170"/>
      <c r="L170"/>
    </row>
    <row r="171" spans="2:12" x14ac:dyDescent="0.3">
      <c r="B171" s="310"/>
      <c r="C171" s="311"/>
      <c r="D171"/>
      <c r="E171"/>
      <c r="F171"/>
      <c r="G171"/>
      <c r="H171"/>
      <c r="I171"/>
      <c r="J171"/>
      <c r="K171"/>
      <c r="L171"/>
    </row>
    <row r="172" spans="2:12" x14ac:dyDescent="0.3">
      <c r="B172"/>
      <c r="C172"/>
      <c r="D172"/>
      <c r="E172"/>
      <c r="F172"/>
      <c r="G172"/>
      <c r="H172"/>
      <c r="I172"/>
      <c r="J172"/>
      <c r="K172"/>
      <c r="L172"/>
    </row>
    <row r="173" spans="2:12" x14ac:dyDescent="0.3">
      <c r="B173"/>
      <c r="C173"/>
      <c r="D173"/>
      <c r="E173"/>
      <c r="F173"/>
      <c r="G173"/>
      <c r="H173"/>
      <c r="I173"/>
      <c r="J173"/>
      <c r="K173"/>
      <c r="L173"/>
    </row>
    <row r="174" spans="2:12" x14ac:dyDescent="0.3">
      <c r="B174" s="308"/>
      <c r="C174" s="309"/>
      <c r="D174"/>
      <c r="E174"/>
      <c r="F174"/>
      <c r="G174"/>
      <c r="H174"/>
      <c r="I174"/>
      <c r="J174"/>
      <c r="K174"/>
      <c r="L174"/>
    </row>
    <row r="175" spans="2:12" x14ac:dyDescent="0.3">
      <c r="B175"/>
      <c r="C175"/>
      <c r="D175"/>
      <c r="E175"/>
      <c r="F175"/>
      <c r="G175"/>
      <c r="H175"/>
      <c r="I175"/>
      <c r="J175"/>
      <c r="K175"/>
      <c r="L175"/>
    </row>
    <row r="176" spans="2:12" x14ac:dyDescent="0.3">
      <c r="B176"/>
      <c r="C176"/>
      <c r="D176"/>
      <c r="E176"/>
      <c r="F176"/>
      <c r="G176"/>
      <c r="H176"/>
      <c r="I176"/>
      <c r="J176"/>
      <c r="K176"/>
      <c r="L176"/>
    </row>
    <row r="177" spans="2:12" x14ac:dyDescent="0.3">
      <c r="B177"/>
      <c r="C177"/>
      <c r="D177"/>
      <c r="E177"/>
      <c r="F177"/>
      <c r="G177"/>
      <c r="H177"/>
      <c r="I177"/>
      <c r="J177"/>
      <c r="K177"/>
      <c r="L177"/>
    </row>
    <row r="178" spans="2:12" x14ac:dyDescent="0.3">
      <c r="B178"/>
      <c r="C178"/>
      <c r="D178"/>
      <c r="E178"/>
      <c r="F178"/>
      <c r="G178"/>
      <c r="H178"/>
      <c r="I178"/>
      <c r="J178"/>
      <c r="K178"/>
      <c r="L178"/>
    </row>
    <row r="179" spans="2:12" x14ac:dyDescent="0.3">
      <c r="B179"/>
      <c r="C179"/>
      <c r="D179"/>
      <c r="E179"/>
      <c r="F179"/>
      <c r="G179"/>
      <c r="H179"/>
      <c r="I179"/>
      <c r="J179"/>
      <c r="K179"/>
      <c r="L179"/>
    </row>
    <row r="180" spans="2:12" x14ac:dyDescent="0.3">
      <c r="B180"/>
      <c r="C180"/>
      <c r="D180"/>
      <c r="E180"/>
      <c r="F180"/>
      <c r="G180"/>
      <c r="H180"/>
      <c r="I180"/>
      <c r="J180"/>
      <c r="K180"/>
      <c r="L180"/>
    </row>
    <row r="181" spans="2:12" x14ac:dyDescent="0.3">
      <c r="B181"/>
      <c r="C181"/>
      <c r="D181"/>
      <c r="E181"/>
      <c r="F181"/>
      <c r="G181"/>
      <c r="H181"/>
      <c r="I181"/>
      <c r="J181"/>
      <c r="K181"/>
      <c r="L181"/>
    </row>
    <row r="182" spans="2:12" x14ac:dyDescent="0.3">
      <c r="B182"/>
      <c r="C182"/>
      <c r="D182"/>
      <c r="E182"/>
      <c r="F182"/>
      <c r="G182"/>
      <c r="H182"/>
      <c r="I182"/>
      <c r="J182"/>
      <c r="K182"/>
      <c r="L182"/>
    </row>
    <row r="183" spans="2:12" x14ac:dyDescent="0.3">
      <c r="B183"/>
      <c r="C183"/>
      <c r="D183"/>
      <c r="E183"/>
      <c r="F183"/>
      <c r="G183"/>
      <c r="H183"/>
      <c r="I183"/>
      <c r="J183"/>
      <c r="K183"/>
      <c r="L183"/>
    </row>
    <row r="184" spans="2:12" x14ac:dyDescent="0.3">
      <c r="B184"/>
      <c r="C184"/>
      <c r="D184"/>
      <c r="E184"/>
      <c r="F184"/>
      <c r="G184"/>
      <c r="H184"/>
      <c r="I184"/>
      <c r="J184"/>
      <c r="K184"/>
      <c r="L184"/>
    </row>
    <row r="185" spans="2:12" x14ac:dyDescent="0.3">
      <c r="B185"/>
      <c r="C185"/>
      <c r="D185"/>
      <c r="E185"/>
      <c r="F185"/>
      <c r="G185"/>
      <c r="H185"/>
      <c r="I185"/>
      <c r="J185"/>
      <c r="K185"/>
      <c r="L185"/>
    </row>
    <row r="186" spans="2:12" x14ac:dyDescent="0.3">
      <c r="B186"/>
      <c r="C186"/>
      <c r="D186"/>
      <c r="E186"/>
      <c r="F186"/>
      <c r="G186"/>
      <c r="H186"/>
      <c r="I186"/>
      <c r="J186"/>
      <c r="K186"/>
      <c r="L186"/>
    </row>
    <row r="187" spans="2:12" x14ac:dyDescent="0.3">
      <c r="B187"/>
      <c r="C187"/>
      <c r="D187"/>
      <c r="E187"/>
      <c r="F187"/>
      <c r="G187"/>
      <c r="H187"/>
      <c r="I187"/>
      <c r="J187"/>
      <c r="K187"/>
      <c r="L187"/>
    </row>
    <row r="188" spans="2:12" x14ac:dyDescent="0.3">
      <c r="B188" s="324" t="s">
        <v>233</v>
      </c>
      <c r="C188"/>
      <c r="D188"/>
      <c r="E188"/>
      <c r="F188"/>
      <c r="G188"/>
      <c r="H188"/>
      <c r="I188"/>
      <c r="J188"/>
      <c r="K188"/>
      <c r="L188"/>
    </row>
    <row r="189" spans="2:12" x14ac:dyDescent="0.3">
      <c r="B189"/>
      <c r="C189"/>
      <c r="D189"/>
      <c r="E189"/>
      <c r="F189"/>
      <c r="G189"/>
      <c r="H189"/>
      <c r="I189"/>
      <c r="J189"/>
      <c r="K189"/>
      <c r="L189"/>
    </row>
    <row r="203" spans="9:9" x14ac:dyDescent="0.3">
      <c r="I203" s="295" t="s">
        <v>143</v>
      </c>
    </row>
    <row r="268" spans="2:2" x14ac:dyDescent="0.3">
      <c r="B268" s="293" t="s">
        <v>304</v>
      </c>
    </row>
    <row r="269" spans="2:2" x14ac:dyDescent="0.3">
      <c r="B269" s="293" t="s">
        <v>305</v>
      </c>
    </row>
    <row r="270" spans="2:2" x14ac:dyDescent="0.3">
      <c r="B270" s="293" t="s">
        <v>306</v>
      </c>
    </row>
    <row r="280" spans="2:2" x14ac:dyDescent="0.3">
      <c r="B280" s="326" t="s">
        <v>216</v>
      </c>
    </row>
    <row r="298" spans="9:9" x14ac:dyDescent="0.3">
      <c r="I298" s="423" t="s">
        <v>143</v>
      </c>
    </row>
    <row r="299" spans="9:9" x14ac:dyDescent="0.3">
      <c r="I299" s="424" t="s">
        <v>286</v>
      </c>
    </row>
    <row r="338" spans="2:2" x14ac:dyDescent="0.3">
      <c r="B338" s="352" t="s">
        <v>289</v>
      </c>
    </row>
  </sheetData>
  <phoneticPr fontId="65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D5343-A885-407A-B014-450D58A9D983}">
  <sheetPr codeName="Feuil2">
    <tabColor rgb="FFFF0000"/>
  </sheetPr>
  <dimension ref="B1:AC158"/>
  <sheetViews>
    <sheetView showGridLines="0" zoomScale="80" zoomScaleNormal="80" workbookViewId="0">
      <selection activeCell="J140" sqref="J140"/>
    </sheetView>
  </sheetViews>
  <sheetFormatPr baseColWidth="10" defaultRowHeight="14.4" x14ac:dyDescent="0.3"/>
  <cols>
    <col min="1" max="1" width="2.77734375" customWidth="1"/>
    <col min="2" max="2" width="43.77734375" customWidth="1"/>
    <col min="3" max="3" width="24.77734375" customWidth="1"/>
    <col min="4" max="6" width="17.21875" customWidth="1"/>
    <col min="7" max="7" width="18.5546875" customWidth="1"/>
    <col min="8" max="12" width="17.21875" customWidth="1"/>
    <col min="13" max="13" width="5" customWidth="1"/>
    <col min="14" max="14" width="31.109375" customWidth="1"/>
    <col min="15" max="15" width="9.44140625" customWidth="1"/>
    <col min="19" max="19" width="7" customWidth="1"/>
    <col min="20" max="20" width="29.21875" bestFit="1" customWidth="1"/>
    <col min="25" max="27" width="18.88671875" customWidth="1"/>
  </cols>
  <sheetData>
    <row r="1" spans="2:26" ht="28.2" x14ac:dyDescent="0.3">
      <c r="B1" s="331" t="s">
        <v>230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2:26" ht="21" x14ac:dyDescent="0.4">
      <c r="B2" s="283" t="s">
        <v>287</v>
      </c>
      <c r="C2" s="2"/>
      <c r="D2" s="2"/>
      <c r="E2" s="2"/>
      <c r="F2" s="2"/>
      <c r="G2" s="2"/>
      <c r="H2" s="2"/>
      <c r="I2" s="2"/>
      <c r="J2" s="2"/>
      <c r="K2" s="2"/>
      <c r="L2" s="264"/>
      <c r="T2" s="184" t="s">
        <v>127</v>
      </c>
    </row>
    <row r="3" spans="2:26" ht="15" customHeight="1" x14ac:dyDescent="0.3">
      <c r="B3" s="53" t="s">
        <v>34</v>
      </c>
      <c r="C3" s="54" t="s">
        <v>56</v>
      </c>
      <c r="D3" s="55"/>
      <c r="E3" s="55"/>
      <c r="F3" s="55"/>
      <c r="G3" s="226" t="s">
        <v>140</v>
      </c>
      <c r="H3" s="224">
        <v>7000</v>
      </c>
      <c r="I3" s="225" t="s">
        <v>35</v>
      </c>
      <c r="J3" s="57">
        <f>H3/E5</f>
        <v>5384.6153846153848</v>
      </c>
      <c r="K3" s="56" t="s">
        <v>36</v>
      </c>
      <c r="L3" s="58"/>
      <c r="N3" s="228" t="s">
        <v>94</v>
      </c>
    </row>
    <row r="4" spans="2:26" ht="15" customHeight="1" x14ac:dyDescent="0.3">
      <c r="B4" s="249" t="s">
        <v>115</v>
      </c>
      <c r="C4" s="63">
        <f>O5</f>
        <v>58</v>
      </c>
      <c r="D4" s="59"/>
      <c r="E4" s="59"/>
      <c r="F4" s="59"/>
      <c r="G4" s="227" t="s">
        <v>115</v>
      </c>
      <c r="H4" s="61">
        <f>H3*C4%</f>
        <v>4059.9999999999995</v>
      </c>
      <c r="I4" s="50" t="s">
        <v>35</v>
      </c>
      <c r="J4" s="61"/>
      <c r="K4" s="50"/>
      <c r="L4" s="241"/>
      <c r="N4" s="228"/>
      <c r="T4" s="185" t="s">
        <v>62</v>
      </c>
      <c r="U4" s="267">
        <f>D155</f>
        <v>50.249997008622671</v>
      </c>
      <c r="Y4" t="s">
        <v>63</v>
      </c>
    </row>
    <row r="5" spans="2:26" ht="15" customHeight="1" x14ac:dyDescent="0.3">
      <c r="B5" s="49" t="s">
        <v>259</v>
      </c>
      <c r="C5" s="63">
        <f>$O$5+(($O$5*$O$6%)*$O$7%)*$O$9%</f>
        <v>59.637827199999997</v>
      </c>
      <c r="D5" s="227" t="s">
        <v>104</v>
      </c>
      <c r="E5" s="272">
        <v>1.3</v>
      </c>
      <c r="F5" s="59"/>
      <c r="G5" s="227" t="s">
        <v>259</v>
      </c>
      <c r="H5" s="60">
        <f>H3*C5%</f>
        <v>4174.6479039999995</v>
      </c>
      <c r="I5" s="50" t="s">
        <v>35</v>
      </c>
      <c r="J5" s="61"/>
      <c r="K5" s="50"/>
      <c r="L5" s="62"/>
      <c r="N5" s="234" t="s">
        <v>92</v>
      </c>
      <c r="O5" s="229">
        <v>58</v>
      </c>
    </row>
    <row r="6" spans="2:26" ht="15" customHeight="1" x14ac:dyDescent="0.3">
      <c r="B6" s="49" t="s">
        <v>102</v>
      </c>
      <c r="C6" s="63">
        <f>100-C7</f>
        <v>92</v>
      </c>
      <c r="D6" s="50"/>
      <c r="E6" s="50"/>
      <c r="F6" s="59"/>
      <c r="G6" s="227" t="s">
        <v>105</v>
      </c>
      <c r="H6" s="60">
        <f>H5/C6%</f>
        <v>4537.6607652173907</v>
      </c>
      <c r="I6" s="50" t="s">
        <v>35</v>
      </c>
      <c r="J6" s="61"/>
      <c r="K6" s="50"/>
      <c r="L6" s="265" t="s">
        <v>126</v>
      </c>
      <c r="N6" s="234" t="s">
        <v>93</v>
      </c>
      <c r="O6" s="229">
        <v>74</v>
      </c>
      <c r="T6" s="185" t="s">
        <v>64</v>
      </c>
      <c r="U6" s="186">
        <v>12.5</v>
      </c>
      <c r="Y6" s="185" t="s">
        <v>65</v>
      </c>
      <c r="Z6" s="187">
        <f>2008.2+(1208.9/1000*U4)-(1312.9/1000000*U4*U4)</f>
        <v>2065.6320672221755</v>
      </c>
    </row>
    <row r="7" spans="2:26" ht="15" customHeight="1" x14ac:dyDescent="0.3">
      <c r="B7" s="49" t="s">
        <v>103</v>
      </c>
      <c r="C7" s="238">
        <v>8</v>
      </c>
      <c r="D7" s="50" t="s">
        <v>284</v>
      </c>
      <c r="E7" s="50"/>
      <c r="F7" s="246"/>
      <c r="G7" s="247" t="s">
        <v>106</v>
      </c>
      <c r="H7" s="244">
        <f>H3-H6</f>
        <v>2462.3392347826093</v>
      </c>
      <c r="I7" s="248" t="s">
        <v>35</v>
      </c>
      <c r="J7" s="61"/>
      <c r="K7" s="50"/>
      <c r="L7" s="266">
        <v>45536</v>
      </c>
      <c r="N7" s="234" t="s">
        <v>100</v>
      </c>
      <c r="O7" s="229">
        <v>72</v>
      </c>
      <c r="T7" s="185" t="s">
        <v>66</v>
      </c>
      <c r="U7" s="186">
        <v>1</v>
      </c>
      <c r="Y7" s="185" t="s">
        <v>67</v>
      </c>
      <c r="Z7" s="187">
        <f>1984.2+(1473.3/1000*U4)-(4800.8/1000000*U4*U4)</f>
        <v>2046.1110019860848</v>
      </c>
    </row>
    <row r="8" spans="2:26" ht="15" customHeight="1" x14ac:dyDescent="0.3">
      <c r="B8" s="49" t="s">
        <v>114</v>
      </c>
      <c r="C8" s="63">
        <f>$O$5+(($O$5*$O$6%)*$O$8%)*$O$9%</f>
        <v>60.047283999999998</v>
      </c>
      <c r="D8" s="50"/>
      <c r="E8" s="50"/>
      <c r="F8" s="59"/>
      <c r="G8" s="227" t="s">
        <v>114</v>
      </c>
      <c r="H8" s="60">
        <f>H3*C8%</f>
        <v>4203.3098799999998</v>
      </c>
      <c r="I8" s="50" t="s">
        <v>35</v>
      </c>
      <c r="J8" s="63">
        <f>(H6-H8)/(H8+(H6-H8))%</f>
        <v>7.3683534868956375</v>
      </c>
      <c r="K8" s="50" t="s">
        <v>154</v>
      </c>
      <c r="L8" s="62"/>
      <c r="N8" s="234" t="s">
        <v>101</v>
      </c>
      <c r="O8" s="229">
        <v>90</v>
      </c>
      <c r="T8" s="185" t="s">
        <v>68</v>
      </c>
      <c r="U8" s="186">
        <v>74</v>
      </c>
      <c r="Y8" s="185" t="s">
        <v>69</v>
      </c>
      <c r="Z8" s="187">
        <f>1548.8+(1962.5/1000*U4)-(5939.9/1000000*U4*U4)</f>
        <v>1632.4170021714042</v>
      </c>
    </row>
    <row r="9" spans="2:26" ht="15" customHeight="1" x14ac:dyDescent="0.3">
      <c r="B9" s="49" t="s">
        <v>261</v>
      </c>
      <c r="C9" s="63">
        <f>100-C10</f>
        <v>98.7</v>
      </c>
      <c r="D9" s="59"/>
      <c r="E9" s="59"/>
      <c r="F9" s="59"/>
      <c r="G9" s="275" t="s">
        <v>108</v>
      </c>
      <c r="H9" s="276">
        <f>H8/C9%</f>
        <v>4258.6726241134747</v>
      </c>
      <c r="I9" s="277" t="s">
        <v>111</v>
      </c>
      <c r="J9" s="240">
        <v>28</v>
      </c>
      <c r="K9" s="50"/>
      <c r="L9" s="62"/>
      <c r="N9" s="234" t="s">
        <v>95</v>
      </c>
      <c r="O9" s="229">
        <v>5.3</v>
      </c>
      <c r="T9" s="185" t="s">
        <v>70</v>
      </c>
      <c r="U9" s="186">
        <v>0</v>
      </c>
      <c r="Y9" s="185" t="s">
        <v>71</v>
      </c>
      <c r="Z9" s="187">
        <f>1845.9+(1930.6/1000*U4)-(4650.9/1000000*U4*U4)</f>
        <v>1931.168832441813</v>
      </c>
    </row>
    <row r="10" spans="2:26" ht="15" customHeight="1" x14ac:dyDescent="0.3">
      <c r="B10" s="64" t="s">
        <v>84</v>
      </c>
      <c r="C10" s="65">
        <v>1.3</v>
      </c>
      <c r="D10" s="280" t="s">
        <v>285</v>
      </c>
      <c r="E10" s="59"/>
      <c r="F10" s="66"/>
      <c r="G10" s="243" t="s">
        <v>109</v>
      </c>
      <c r="H10" s="244">
        <f>H6-H9</f>
        <v>278.98814110391595</v>
      </c>
      <c r="I10" s="245" t="s">
        <v>107</v>
      </c>
      <c r="J10" s="239"/>
      <c r="K10" s="67" t="s">
        <v>37</v>
      </c>
      <c r="L10" s="68">
        <v>101325</v>
      </c>
      <c r="N10" s="235" t="s">
        <v>99</v>
      </c>
      <c r="T10" s="185" t="s">
        <v>72</v>
      </c>
      <c r="U10" s="186">
        <v>7.5</v>
      </c>
      <c r="Y10" s="185" t="s">
        <v>73</v>
      </c>
      <c r="Z10" s="187">
        <f>1092.6+(1889.6/1000*U4)-(3681.7/1000000*U4*U4)</f>
        <v>1178.2558728480851</v>
      </c>
    </row>
    <row r="11" spans="2:26" x14ac:dyDescent="0.3">
      <c r="B11" s="69"/>
      <c r="C11" s="69"/>
      <c r="D11" s="70"/>
      <c r="E11" s="71"/>
      <c r="F11" s="69"/>
      <c r="G11" s="70"/>
      <c r="H11" s="71"/>
      <c r="I11" s="70"/>
      <c r="J11" s="72"/>
      <c r="K11" s="72"/>
      <c r="L11" s="71"/>
      <c r="N11" s="234" t="s">
        <v>96</v>
      </c>
      <c r="O11" s="236">
        <f>H3-H9</f>
        <v>2741.3273758865253</v>
      </c>
      <c r="T11" s="185" t="s">
        <v>74</v>
      </c>
      <c r="U11" s="186">
        <v>1.5</v>
      </c>
      <c r="Y11" s="185" t="s">
        <v>75</v>
      </c>
      <c r="Z11" s="187">
        <f>4176.2-(9.0864/100000*U4)+(5473.1/1000000*U4*U4)</f>
        <v>4190.0153520076246</v>
      </c>
    </row>
    <row r="12" spans="2:26" ht="15.6" x14ac:dyDescent="0.3">
      <c r="B12" s="73" t="s">
        <v>1</v>
      </c>
      <c r="C12" s="74" t="s">
        <v>2</v>
      </c>
      <c r="D12" s="75" t="s">
        <v>3</v>
      </c>
      <c r="E12" s="76"/>
      <c r="F12" s="74" t="s">
        <v>4</v>
      </c>
      <c r="G12" s="77" t="s">
        <v>5</v>
      </c>
      <c r="H12" s="78"/>
      <c r="I12" s="77" t="s">
        <v>6</v>
      </c>
      <c r="J12" s="79"/>
      <c r="K12" s="79"/>
      <c r="L12" s="78"/>
      <c r="N12" s="234" t="s">
        <v>97</v>
      </c>
      <c r="O12" s="236">
        <f>H24+H40</f>
        <v>2741.3273758865253</v>
      </c>
      <c r="P12" s="1" t="b">
        <f>O11=O12</f>
        <v>1</v>
      </c>
    </row>
    <row r="13" spans="2:26" x14ac:dyDescent="0.3">
      <c r="B13" s="80"/>
      <c r="C13" s="74"/>
      <c r="D13" s="75"/>
      <c r="E13" s="76"/>
      <c r="F13" s="80"/>
      <c r="G13" s="81" t="s">
        <v>7</v>
      </c>
      <c r="H13" s="76"/>
      <c r="I13" s="75"/>
      <c r="J13" s="82"/>
      <c r="K13" s="82"/>
      <c r="L13" s="76"/>
      <c r="N13" s="234" t="s">
        <v>98</v>
      </c>
      <c r="O13" s="236">
        <f>H3-H6</f>
        <v>2462.3392347826093</v>
      </c>
      <c r="Y13" s="188" t="s">
        <v>76</v>
      </c>
      <c r="Z13" s="189"/>
    </row>
    <row r="14" spans="2:26" x14ac:dyDescent="0.3">
      <c r="B14" s="83"/>
      <c r="C14" s="84"/>
      <c r="D14" s="75" t="s">
        <v>8</v>
      </c>
      <c r="E14" s="76" t="s">
        <v>9</v>
      </c>
      <c r="F14" s="74" t="s">
        <v>10</v>
      </c>
      <c r="G14" s="75" t="s">
        <v>11</v>
      </c>
      <c r="H14" s="76" t="s">
        <v>9</v>
      </c>
      <c r="I14" s="75" t="s">
        <v>12</v>
      </c>
      <c r="J14" s="82" t="s">
        <v>13</v>
      </c>
      <c r="K14" s="82" t="s">
        <v>14</v>
      </c>
      <c r="L14" s="76" t="s">
        <v>15</v>
      </c>
      <c r="Y14" s="190" t="s">
        <v>77</v>
      </c>
      <c r="Z14" s="191"/>
    </row>
    <row r="15" spans="2:26" x14ac:dyDescent="0.3">
      <c r="B15" s="83"/>
      <c r="C15" s="84"/>
      <c r="D15" s="86" t="s">
        <v>38</v>
      </c>
      <c r="E15" s="87" t="s">
        <v>16</v>
      </c>
      <c r="F15" s="85"/>
      <c r="G15" s="88"/>
      <c r="H15" s="87" t="s">
        <v>17</v>
      </c>
      <c r="I15" s="75"/>
      <c r="J15" s="82"/>
      <c r="K15" s="82"/>
      <c r="L15" s="76"/>
      <c r="T15" s="192" t="s">
        <v>78</v>
      </c>
      <c r="U15" s="193">
        <f>Z6*U6/100 +Z7*U7/100+Z8*U8/100+Z9*U9/100+Z10*U10/100+Z11*U11/100</f>
        <v>1637.8731207731926</v>
      </c>
      <c r="V15" s="192" t="s">
        <v>79</v>
      </c>
    </row>
    <row r="16" spans="2:26" x14ac:dyDescent="0.3">
      <c r="B16" s="83"/>
      <c r="C16" s="85"/>
      <c r="D16" s="86"/>
      <c r="E16" s="87"/>
      <c r="F16" s="85"/>
      <c r="G16" s="88"/>
      <c r="H16" s="87"/>
      <c r="I16" s="88"/>
      <c r="J16" s="89"/>
      <c r="K16" s="89"/>
      <c r="L16" s="90"/>
      <c r="T16" s="192" t="s">
        <v>78</v>
      </c>
      <c r="U16" s="193">
        <f>U15/4.1855</f>
        <v>391.32077906419602</v>
      </c>
      <c r="V16" s="192" t="s">
        <v>80</v>
      </c>
    </row>
    <row r="17" spans="2:26" ht="22.2" customHeight="1" x14ac:dyDescent="0.3">
      <c r="B17" s="391" t="s">
        <v>268</v>
      </c>
      <c r="C17" s="392"/>
      <c r="D17" s="393"/>
      <c r="E17" s="394"/>
      <c r="F17" s="392"/>
      <c r="G17" s="395"/>
      <c r="H17" s="394"/>
      <c r="I17" s="390"/>
      <c r="J17" s="390"/>
      <c r="K17" s="390"/>
      <c r="L17" s="390"/>
      <c r="N17" s="408" t="s">
        <v>264</v>
      </c>
    </row>
    <row r="18" spans="2:26" ht="21" x14ac:dyDescent="0.4">
      <c r="B18" s="369"/>
      <c r="C18" s="85"/>
      <c r="D18" s="89"/>
      <c r="E18" s="370"/>
      <c r="F18" s="85"/>
      <c r="G18" s="89"/>
      <c r="H18" s="87"/>
      <c r="I18" s="88"/>
      <c r="J18" s="89"/>
      <c r="K18" s="89"/>
      <c r="L18" s="90"/>
      <c r="M18" s="237"/>
      <c r="N18" s="409" t="s">
        <v>265</v>
      </c>
      <c r="T18" s="184" t="s">
        <v>128</v>
      </c>
    </row>
    <row r="19" spans="2:26" ht="16.2" customHeight="1" x14ac:dyDescent="0.3">
      <c r="B19" s="3" t="s">
        <v>39</v>
      </c>
      <c r="C19" s="94">
        <v>23.5</v>
      </c>
      <c r="D19" s="337">
        <f>((22.41/273)*(C19+273))*((1/29)+((1/18)*G19))</f>
        <v>0.85144766862447907</v>
      </c>
      <c r="E19" s="333">
        <v>52215.582561836265</v>
      </c>
      <c r="F19" s="332">
        <f>E19/D19</f>
        <v>61325.650989438938</v>
      </c>
      <c r="G19" s="334">
        <v>8.9999999999999993E-3</v>
      </c>
      <c r="H19" s="95">
        <f>F19*G19</f>
        <v>551.93085890495036</v>
      </c>
      <c r="I19" s="96">
        <f>(((1.005+(1.88*G19))*C19)+(2487*G19))</f>
        <v>46.398119999999999</v>
      </c>
      <c r="J19" s="97">
        <f>I19/4.1855</f>
        <v>11.085442599450483</v>
      </c>
      <c r="K19" s="5">
        <f>I19*F19</f>
        <v>2845394.9136861064</v>
      </c>
      <c r="L19" s="6">
        <f>K19/4.1855</f>
        <v>679821.98391735903</v>
      </c>
      <c r="N19" s="410" t="s">
        <v>266</v>
      </c>
    </row>
    <row r="20" spans="2:26" ht="16.2" customHeight="1" x14ac:dyDescent="0.3">
      <c r="B20" s="8"/>
      <c r="C20" s="9"/>
      <c r="D20" s="98">
        <f>1/D19</f>
        <v>1.1744703014050275</v>
      </c>
      <c r="E20" s="10"/>
      <c r="F20" s="9"/>
      <c r="G20" s="11"/>
      <c r="H20" s="10"/>
      <c r="I20" s="99"/>
      <c r="J20" s="100"/>
      <c r="K20" s="12"/>
      <c r="L20" s="13"/>
      <c r="N20" s="410" t="s">
        <v>267</v>
      </c>
      <c r="T20" s="185" t="s">
        <v>62</v>
      </c>
      <c r="U20" s="268">
        <f>'Simul 1'!J9</f>
        <v>28</v>
      </c>
      <c r="Y20" t="s">
        <v>63</v>
      </c>
    </row>
    <row r="21" spans="2:26" ht="16.2" customHeight="1" x14ac:dyDescent="0.3">
      <c r="B21" s="14"/>
      <c r="C21" s="15"/>
      <c r="D21" s="16"/>
      <c r="E21" s="16"/>
      <c r="F21" s="15"/>
      <c r="G21" s="16"/>
      <c r="H21" s="16"/>
      <c r="I21" s="101"/>
      <c r="J21" s="102"/>
      <c r="K21" s="17"/>
      <c r="L21" s="18"/>
    </row>
    <row r="22" spans="2:26" x14ac:dyDescent="0.3">
      <c r="B22" s="19" t="s">
        <v>58</v>
      </c>
      <c r="C22" s="103">
        <v>160</v>
      </c>
      <c r="D22" s="337">
        <f>((22.41/273)*(C22+273))*((1/29)+((1/18)*G22))</f>
        <v>1.2434294789693066</v>
      </c>
      <c r="E22" s="332">
        <f>D22*F22</f>
        <v>76254.122257251598</v>
      </c>
      <c r="F22" s="104">
        <f>F19</f>
        <v>61325.650989438938</v>
      </c>
      <c r="G22" s="11">
        <f>H22/F22</f>
        <v>8.9999999999999993E-3</v>
      </c>
      <c r="H22" s="105">
        <f>H19</f>
        <v>551.93085890495036</v>
      </c>
      <c r="I22" s="96">
        <f>(((1.005+(1.88*$G$22))*$C$22)+(2487*$G$22))</f>
        <v>185.89019999999999</v>
      </c>
      <c r="J22" s="97">
        <f>I22/4.1855</f>
        <v>44.412901684386568</v>
      </c>
      <c r="K22" s="20">
        <f>F22*I22</f>
        <v>11399837.527557002</v>
      </c>
      <c r="L22" s="6">
        <f>K22/4.1855</f>
        <v>2723650.1081249556</v>
      </c>
      <c r="T22" s="185" t="s">
        <v>64</v>
      </c>
      <c r="U22" s="214">
        <f t="shared" ref="U22:U27" si="0">U6</f>
        <v>12.5</v>
      </c>
      <c r="Y22" s="185" t="s">
        <v>65</v>
      </c>
      <c r="Z22" s="187">
        <f>2008.2+(1208.9/1000*U20)-(1312.9/1000000*U20*U20)</f>
        <v>2041.0198864000001</v>
      </c>
    </row>
    <row r="23" spans="2:26" x14ac:dyDescent="0.3">
      <c r="B23" s="19"/>
      <c r="C23" s="106"/>
      <c r="D23" s="98">
        <f>1/D22</f>
        <v>0.80422735419535962</v>
      </c>
      <c r="E23" s="20"/>
      <c r="F23" s="104"/>
      <c r="G23" s="11"/>
      <c r="H23" s="105"/>
      <c r="I23" s="96"/>
      <c r="J23" s="97"/>
      <c r="K23" s="20"/>
      <c r="L23" s="6"/>
      <c r="Q23" s="2"/>
      <c r="T23" s="185" t="s">
        <v>66</v>
      </c>
      <c r="U23" s="214">
        <f t="shared" si="0"/>
        <v>1</v>
      </c>
      <c r="Y23" s="185" t="s">
        <v>67</v>
      </c>
      <c r="Z23" s="187">
        <f>1984.2+(1473.3/1000*U20)-(4800.8/1000000*U20*U20)</f>
        <v>2021.6885728000002</v>
      </c>
    </row>
    <row r="24" spans="2:26" x14ac:dyDescent="0.3">
      <c r="B24" s="107" t="s">
        <v>40</v>
      </c>
      <c r="C24" s="106"/>
      <c r="D24" s="108"/>
      <c r="E24" s="109"/>
      <c r="F24" s="110"/>
      <c r="G24" s="111"/>
      <c r="H24" s="195">
        <f>H3-H6</f>
        <v>2462.3392347826093</v>
      </c>
      <c r="I24" s="112"/>
      <c r="J24" s="97"/>
      <c r="K24" s="20"/>
      <c r="L24" s="6"/>
      <c r="T24" s="185" t="s">
        <v>68</v>
      </c>
      <c r="U24" s="214">
        <f t="shared" si="0"/>
        <v>74</v>
      </c>
      <c r="Y24" s="185" t="s">
        <v>69</v>
      </c>
      <c r="Z24" s="187">
        <f>1548.8+(1962.5/1000*U20)-(5939.9/1000000*U20*U20)</f>
        <v>1599.0931184000001</v>
      </c>
    </row>
    <row r="25" spans="2:26" x14ac:dyDescent="0.3">
      <c r="B25" s="21"/>
      <c r="C25" s="22" t="s">
        <v>299</v>
      </c>
      <c r="D25" s="4"/>
      <c r="E25" s="20"/>
      <c r="F25" s="23"/>
      <c r="G25" s="24"/>
      <c r="H25" s="6"/>
      <c r="I25" s="112"/>
      <c r="J25" s="97"/>
      <c r="K25" s="20"/>
      <c r="L25" s="6"/>
      <c r="Q25" s="2"/>
      <c r="T25" s="185" t="s">
        <v>70</v>
      </c>
      <c r="U25" s="214">
        <f t="shared" si="0"/>
        <v>0</v>
      </c>
      <c r="Y25" s="185" t="s">
        <v>71</v>
      </c>
      <c r="Z25" s="187">
        <f>1845.9+(1930.6/1000*U20)-(4650.9/1000000*U20*U20)</f>
        <v>1896.3104944000002</v>
      </c>
    </row>
    <row r="26" spans="2:26" ht="18" customHeight="1" x14ac:dyDescent="0.3">
      <c r="B26" s="14"/>
      <c r="C26" s="25"/>
      <c r="D26" s="26"/>
      <c r="E26" s="27"/>
      <c r="F26" s="28"/>
      <c r="G26" s="29"/>
      <c r="H26" s="30"/>
      <c r="I26" s="101"/>
      <c r="J26" s="102"/>
      <c r="K26" s="200"/>
      <c r="L26" s="201"/>
      <c r="N26" s="327" t="s">
        <v>222</v>
      </c>
      <c r="O26" s="186"/>
      <c r="P26" s="186"/>
      <c r="Q26" s="328"/>
      <c r="R26" s="186"/>
      <c r="T26" s="185" t="s">
        <v>72</v>
      </c>
      <c r="U26" s="214">
        <f t="shared" si="0"/>
        <v>7.5</v>
      </c>
      <c r="Y26" s="185" t="s">
        <v>73</v>
      </c>
      <c r="Z26" s="187">
        <f>1092.6+(1889.6/1000*U20)-(3681.7/1000000*U20*U20)</f>
        <v>1142.6223471999999</v>
      </c>
    </row>
    <row r="27" spans="2:26" ht="18" customHeight="1" x14ac:dyDescent="0.3">
      <c r="B27" s="158" t="s">
        <v>83</v>
      </c>
      <c r="C27" s="33">
        <f>(I27-(2487*G27))/((1.005+(1.88*G27)))</f>
        <v>57.999994017245335</v>
      </c>
      <c r="D27" s="34">
        <f>((22.41/273)*(C27+273))*((1/29)+((1/18)*G27))</f>
        <v>1.0111294362622116</v>
      </c>
      <c r="E27" s="35">
        <f>D27*F27</f>
        <v>62008.170913364534</v>
      </c>
      <c r="F27" s="36">
        <f>F22</f>
        <v>61325.650989438938</v>
      </c>
      <c r="G27" s="37">
        <f>H27/F27</f>
        <v>4.9151864595887544E-2</v>
      </c>
      <c r="H27" s="35">
        <f>SUM(H22:H25)</f>
        <v>3014.2700936875599</v>
      </c>
      <c r="I27" s="113">
        <f>I22</f>
        <v>185.89019999999999</v>
      </c>
      <c r="J27" s="114">
        <f>I27/4.1855</f>
        <v>44.412901684386568</v>
      </c>
      <c r="K27" s="196">
        <f>F27*I27</f>
        <v>11399837.527557002</v>
      </c>
      <c r="L27" s="197">
        <f>K27/4.1855</f>
        <v>2723650.1081249556</v>
      </c>
      <c r="N27" s="327" t="s">
        <v>226</v>
      </c>
      <c r="O27" s="186"/>
      <c r="P27" s="186"/>
      <c r="Q27" s="186"/>
      <c r="R27" s="186"/>
      <c r="T27" s="185" t="s">
        <v>74</v>
      </c>
      <c r="U27" s="214">
        <f t="shared" si="0"/>
        <v>1.5</v>
      </c>
      <c r="Y27" s="185" t="s">
        <v>75</v>
      </c>
      <c r="Z27" s="187">
        <f>4176.2-(9.0864/100000*U20)+(5473.1/1000000*U20*U20)</f>
        <v>4180.4883662080001</v>
      </c>
    </row>
    <row r="28" spans="2:26" ht="18" customHeight="1" x14ac:dyDescent="0.3">
      <c r="B28" s="373" t="s">
        <v>163</v>
      </c>
      <c r="C28" s="22" t="s">
        <v>164</v>
      </c>
      <c r="D28" s="382">
        <f>1/D27</f>
        <v>0.98899306472240267</v>
      </c>
      <c r="E28" s="375"/>
      <c r="F28" s="376"/>
      <c r="G28" s="300">
        <f>I85</f>
        <v>40.897233553187363</v>
      </c>
      <c r="H28" s="434" t="s">
        <v>300</v>
      </c>
      <c r="I28" s="378" t="s">
        <v>41</v>
      </c>
      <c r="J28" s="379"/>
      <c r="K28" s="380"/>
      <c r="L28" s="381"/>
      <c r="N28" s="327" t="s">
        <v>227</v>
      </c>
      <c r="O28" s="186"/>
      <c r="P28" s="186"/>
      <c r="Q28" s="328"/>
      <c r="R28" s="186"/>
    </row>
    <row r="29" spans="2:26" ht="22.2" customHeight="1" x14ac:dyDescent="0.3">
      <c r="B29" s="391" t="s">
        <v>262</v>
      </c>
      <c r="C29" s="396"/>
      <c r="D29" s="397"/>
      <c r="E29" s="398"/>
      <c r="F29" s="399"/>
      <c r="G29" s="400"/>
      <c r="H29" s="398"/>
      <c r="I29" s="386"/>
      <c r="J29" s="387"/>
      <c r="K29" s="388"/>
      <c r="L29" s="388"/>
      <c r="N29" s="407" t="s">
        <v>228</v>
      </c>
      <c r="O29" s="186"/>
      <c r="P29" s="186"/>
      <c r="Q29" s="186"/>
      <c r="R29" s="186"/>
      <c r="Y29" s="188" t="s">
        <v>76</v>
      </c>
      <c r="Z29" s="189"/>
    </row>
    <row r="30" spans="2:26" ht="19.05" customHeight="1" x14ac:dyDescent="0.3">
      <c r="B30" s="369"/>
      <c r="C30" s="85"/>
      <c r="D30" s="89"/>
      <c r="E30" s="370"/>
      <c r="F30" s="85"/>
      <c r="G30" s="89"/>
      <c r="H30" s="87"/>
      <c r="I30" s="88"/>
      <c r="J30" s="89"/>
      <c r="K30" s="371"/>
      <c r="L30" s="372"/>
      <c r="Y30" s="190" t="s">
        <v>77</v>
      </c>
      <c r="Z30" s="191"/>
    </row>
    <row r="31" spans="2:26" ht="19.05" customHeight="1" x14ac:dyDescent="0.3">
      <c r="B31" s="3" t="s">
        <v>82</v>
      </c>
      <c r="C31" s="302">
        <f>C54</f>
        <v>46.826727793881169</v>
      </c>
      <c r="D31" s="303">
        <f t="shared" ref="D31:L31" si="1">D54</f>
        <v>0.9224885617643378</v>
      </c>
      <c r="E31" s="105">
        <f t="shared" si="1"/>
        <v>46124.42808821689</v>
      </c>
      <c r="F31" s="104">
        <f t="shared" si="1"/>
        <v>50000</v>
      </c>
      <c r="G31" s="304">
        <f t="shared" si="1"/>
        <v>1.177976282207832E-2</v>
      </c>
      <c r="H31" s="105">
        <f t="shared" si="1"/>
        <v>588.98814110391595</v>
      </c>
      <c r="I31" s="305">
        <f t="shared" si="1"/>
        <v>77.39415413599373</v>
      </c>
      <c r="J31" s="306">
        <f t="shared" si="1"/>
        <v>18.491017593117604</v>
      </c>
      <c r="K31" s="20">
        <f t="shared" si="1"/>
        <v>3869707.7067996864</v>
      </c>
      <c r="L31" s="6">
        <f t="shared" si="1"/>
        <v>924550.87965588016</v>
      </c>
      <c r="Q31" s="2"/>
      <c r="T31" s="192" t="s">
        <v>78</v>
      </c>
      <c r="U31" s="193">
        <f>Z22*U22/100 +Z23*U23/100+Z24*U24/100+Z25*U25/100+Z26*U26/100+Z27*U27/100</f>
        <v>1607.0772806771201</v>
      </c>
      <c r="V31" s="192" t="s">
        <v>79</v>
      </c>
    </row>
    <row r="32" spans="2:26" ht="19.05" customHeight="1" x14ac:dyDescent="0.3">
      <c r="B32" s="154"/>
      <c r="C32" s="155"/>
      <c r="D32" s="156">
        <f>1/D31</f>
        <v>1.0840242811113181</v>
      </c>
      <c r="E32" s="157"/>
      <c r="F32" s="155"/>
      <c r="G32" s="300">
        <f>G55</f>
        <v>17.928416258051548</v>
      </c>
      <c r="H32" s="157"/>
      <c r="I32" s="99"/>
      <c r="J32" s="100"/>
      <c r="K32" s="12"/>
      <c r="L32" s="13"/>
      <c r="T32" s="192" t="s">
        <v>78</v>
      </c>
      <c r="U32" s="193">
        <f>U31/4.1855</f>
        <v>383.96303444680922</v>
      </c>
      <c r="V32" s="192" t="s">
        <v>80</v>
      </c>
    </row>
    <row r="33" spans="2:25" ht="19.05" customHeight="1" x14ac:dyDescent="0.3">
      <c r="B33" s="14"/>
      <c r="C33" s="25"/>
      <c r="D33" s="26"/>
      <c r="E33" s="27"/>
      <c r="F33" s="28"/>
      <c r="G33" s="29"/>
      <c r="H33" s="30"/>
      <c r="I33" s="31"/>
      <c r="J33" s="32"/>
      <c r="K33" s="27"/>
      <c r="L33" s="30"/>
      <c r="Q33" s="2"/>
    </row>
    <row r="34" spans="2:25" ht="19.05" customHeight="1" x14ac:dyDescent="0.3">
      <c r="B34" s="158" t="s">
        <v>116</v>
      </c>
      <c r="C34" s="33">
        <f>(I34-(2487*G34))/((1.005+(1.88*G34)))</f>
        <v>53.163940193604837</v>
      </c>
      <c r="D34" s="34">
        <f>((22.41/273)*(C34+273))*((1/29)+((1/18)*G34))</f>
        <v>0.97138947768428086</v>
      </c>
      <c r="E34" s="35">
        <f>D34*F34</f>
        <v>108140.56596749363</v>
      </c>
      <c r="F34" s="36">
        <f>F27+F31</f>
        <v>111325.65098943893</v>
      </c>
      <c r="G34" s="37">
        <f>H34/F34</f>
        <v>3.2366828334408793E-2</v>
      </c>
      <c r="H34" s="35">
        <f>H27+H31</f>
        <v>3603.2582347914758</v>
      </c>
      <c r="I34" s="38">
        <f>K34/F34</f>
        <v>137.16106843880263</v>
      </c>
      <c r="J34" s="39">
        <f>I34/4.1855</f>
        <v>32.770533613380152</v>
      </c>
      <c r="K34" s="204">
        <f>K27+K31</f>
        <v>15269545.234356688</v>
      </c>
      <c r="L34" s="205">
        <f>J34*F34</f>
        <v>3648200.9877808359</v>
      </c>
    </row>
    <row r="35" spans="2:25" ht="19.05" customHeight="1" x14ac:dyDescent="0.3">
      <c r="B35" s="40" t="s">
        <v>162</v>
      </c>
      <c r="C35" s="41"/>
      <c r="D35" s="156">
        <f>1/D34</f>
        <v>1.0294531935675528</v>
      </c>
      <c r="E35" s="42"/>
      <c r="F35" s="43"/>
      <c r="G35" s="301">
        <f>I94</f>
        <v>34.814104583723044</v>
      </c>
      <c r="H35" s="44"/>
      <c r="I35" s="45"/>
      <c r="J35" s="46"/>
      <c r="K35" s="47"/>
      <c r="L35" s="48"/>
      <c r="T35" s="192" t="s">
        <v>81</v>
      </c>
      <c r="U35" s="193">
        <f>U15-U31</f>
        <v>30.795840096072425</v>
      </c>
      <c r="V35" s="192" t="s">
        <v>79</v>
      </c>
    </row>
    <row r="36" spans="2:25" ht="22.2" customHeight="1" x14ac:dyDescent="0.3">
      <c r="B36" s="279" t="s">
        <v>263</v>
      </c>
      <c r="C36" s="401"/>
      <c r="D36" s="402"/>
      <c r="E36" s="403"/>
      <c r="F36" s="401"/>
      <c r="G36" s="402"/>
      <c r="H36" s="403"/>
      <c r="I36" s="2"/>
      <c r="J36" s="2"/>
      <c r="K36" s="2"/>
      <c r="L36" s="2"/>
      <c r="T36" s="192"/>
      <c r="U36" s="193">
        <f>U16-U32</f>
        <v>7.3577446173867997</v>
      </c>
      <c r="V36" s="192" t="s">
        <v>80</v>
      </c>
    </row>
    <row r="37" spans="2:25" ht="16.2" customHeight="1" x14ac:dyDescent="0.3">
      <c r="B37" s="14"/>
      <c r="C37" s="15"/>
      <c r="D37" s="16"/>
      <c r="E37" s="16"/>
      <c r="F37" s="15"/>
      <c r="G37" s="16"/>
      <c r="H37" s="16"/>
      <c r="I37" s="101"/>
      <c r="J37" s="102"/>
      <c r="K37" s="17"/>
      <c r="L37" s="18"/>
    </row>
    <row r="38" spans="2:25" ht="16.2" customHeight="1" x14ac:dyDescent="0.3">
      <c r="B38" s="19" t="s">
        <v>59</v>
      </c>
      <c r="C38" s="103">
        <v>82</v>
      </c>
      <c r="D38" s="337">
        <f>((22.41/273)*(C38+273))*((1/29)+((1/18)*G38))</f>
        <v>1.0194398730579766</v>
      </c>
      <c r="E38" s="332">
        <f>F38*D38</f>
        <v>30583.196191739298</v>
      </c>
      <c r="F38" s="336">
        <v>30000</v>
      </c>
      <c r="G38" s="335">
        <v>8.9999999999999993E-3</v>
      </c>
      <c r="H38" s="95">
        <f>F38*G38</f>
        <v>270</v>
      </c>
      <c r="I38" s="96">
        <f>(((1.005+(1.88*$G$38))*$C$38)+(2487*$G$38))</f>
        <v>106.18043999999999</v>
      </c>
      <c r="J38" s="97">
        <f>I38/4.1855</f>
        <v>25.368639350137375</v>
      </c>
      <c r="K38" s="20">
        <f>F38*I38</f>
        <v>3185413.1999999997</v>
      </c>
      <c r="L38" s="6">
        <f>K38/4.1855</f>
        <v>761059.18050412124</v>
      </c>
      <c r="T38" t="s">
        <v>129</v>
      </c>
      <c r="U38" s="125">
        <f>'Simul 1'!H9*'Simul 1'!U16</f>
        <v>1666507.0890474489</v>
      </c>
      <c r="V38" t="s">
        <v>80</v>
      </c>
      <c r="Y38" s="125"/>
    </row>
    <row r="39" spans="2:25" ht="16.2" customHeight="1" x14ac:dyDescent="0.3">
      <c r="B39" s="19"/>
      <c r="C39" s="106"/>
      <c r="D39" s="98">
        <f>1/D38</f>
        <v>0.98093082920166397</v>
      </c>
      <c r="E39" s="20"/>
      <c r="F39" s="104"/>
      <c r="G39" s="11"/>
      <c r="H39" s="105"/>
      <c r="I39" s="96"/>
      <c r="J39" s="97"/>
      <c r="K39" s="20"/>
      <c r="L39" s="6"/>
      <c r="T39" t="s">
        <v>130</v>
      </c>
      <c r="U39" s="125">
        <f>'Simul 1'!H9*'Simul 1'!U32</f>
        <v>1635172.8634701655</v>
      </c>
      <c r="V39" t="s">
        <v>80</v>
      </c>
      <c r="Y39" s="125"/>
    </row>
    <row r="40" spans="2:25" ht="16.2" customHeight="1" x14ac:dyDescent="0.3">
      <c r="B40" s="107" t="s">
        <v>40</v>
      </c>
      <c r="C40" s="106"/>
      <c r="D40" s="108"/>
      <c r="E40" s="109"/>
      <c r="F40" s="110"/>
      <c r="G40" s="111"/>
      <c r="H40" s="195">
        <f>H6-H9</f>
        <v>278.98814110391595</v>
      </c>
      <c r="I40" s="112"/>
      <c r="J40" s="97"/>
      <c r="K40" s="20"/>
      <c r="L40" s="6"/>
      <c r="T40" s="269" t="s">
        <v>131</v>
      </c>
      <c r="U40" s="270">
        <f>U38-U39</f>
        <v>31334.225577283418</v>
      </c>
      <c r="V40" s="271" t="s">
        <v>80</v>
      </c>
      <c r="Y40" s="125"/>
    </row>
    <row r="41" spans="2:25" ht="16.2" customHeight="1" x14ac:dyDescent="0.3">
      <c r="B41" s="176"/>
      <c r="C41" s="177"/>
      <c r="D41" s="178"/>
      <c r="E41" s="179"/>
      <c r="F41" s="180"/>
      <c r="G41" s="181"/>
      <c r="H41" s="182"/>
      <c r="I41" s="99"/>
      <c r="J41" s="100"/>
      <c r="K41" s="179"/>
      <c r="L41" s="182"/>
    </row>
    <row r="42" spans="2:25" ht="16.2" customHeight="1" x14ac:dyDescent="0.3">
      <c r="B42" s="14"/>
      <c r="C42" s="25"/>
      <c r="D42" s="26"/>
      <c r="E42" s="27"/>
      <c r="F42" s="28"/>
      <c r="G42" s="29"/>
      <c r="H42" s="30"/>
      <c r="I42" s="101"/>
      <c r="J42" s="102"/>
      <c r="K42" s="27"/>
      <c r="L42" s="30"/>
    </row>
    <row r="43" spans="2:25" ht="16.2" customHeight="1" x14ac:dyDescent="0.3">
      <c r="B43" s="158" t="s">
        <v>60</v>
      </c>
      <c r="C43" s="33">
        <f>(I43-(2487*G43))/((1.005+(1.88*G43)))</f>
        <v>58.369379452192568</v>
      </c>
      <c r="D43" s="34">
        <f>((22.41/273)*(C43+273))*((1/29)+((1/18)*G43))</f>
        <v>0.96563419699449937</v>
      </c>
      <c r="E43" s="35">
        <f>D43*F43</f>
        <v>28969.025909834982</v>
      </c>
      <c r="F43" s="36">
        <f>F38</f>
        <v>30000</v>
      </c>
      <c r="G43" s="37">
        <f>H43/F43</f>
        <v>1.8299604703463864E-2</v>
      </c>
      <c r="H43" s="35">
        <f>SUM(H38:H41)</f>
        <v>548.98814110391595</v>
      </c>
      <c r="I43" s="113">
        <f>I38</f>
        <v>106.18043999999999</v>
      </c>
      <c r="J43" s="114">
        <f>I43/4.1855</f>
        <v>25.368639350137375</v>
      </c>
      <c r="K43" s="196">
        <f>F43*I43</f>
        <v>3185413.1999999997</v>
      </c>
      <c r="L43" s="197">
        <f>K43/4.1855</f>
        <v>761059.18050412124</v>
      </c>
    </row>
    <row r="44" spans="2:25" x14ac:dyDescent="0.3">
      <c r="B44" s="115"/>
      <c r="C44" s="116"/>
      <c r="D44" s="117">
        <f>1/D43</f>
        <v>1.0355888421438086</v>
      </c>
      <c r="E44" s="118"/>
      <c r="F44" s="119"/>
      <c r="G44" s="300">
        <f>I104</f>
        <v>15.696502122034495</v>
      </c>
      <c r="H44" s="120"/>
      <c r="I44" s="121" t="s">
        <v>41</v>
      </c>
      <c r="J44" s="122"/>
      <c r="K44" s="123"/>
      <c r="L44" s="124"/>
      <c r="N44" s="327" t="s">
        <v>225</v>
      </c>
      <c r="O44" s="186"/>
      <c r="P44" s="186"/>
      <c r="Q44" s="186"/>
      <c r="R44" s="186"/>
    </row>
    <row r="45" spans="2:25" ht="16.2" customHeight="1" x14ac:dyDescent="0.3">
      <c r="B45" s="14"/>
      <c r="C45" s="15"/>
      <c r="D45" s="16"/>
      <c r="E45" s="16"/>
      <c r="F45" s="15"/>
      <c r="G45" s="16"/>
      <c r="H45" s="16"/>
      <c r="I45" s="101"/>
      <c r="J45" s="102"/>
      <c r="K45" s="17"/>
      <c r="L45" s="18"/>
    </row>
    <row r="46" spans="2:25" ht="16.2" customHeight="1" x14ac:dyDescent="0.3">
      <c r="B46" s="19" t="s">
        <v>112</v>
      </c>
      <c r="C46" s="103">
        <v>22.486275508840926</v>
      </c>
      <c r="D46" s="337">
        <f>((22.41/273)*(C46+273))*((1/29)+((1/18)*G46))</f>
        <v>0.83910376381301233</v>
      </c>
      <c r="E46" s="332">
        <f>F46*D46</f>
        <v>16782.075276260246</v>
      </c>
      <c r="F46" s="336">
        <v>20000</v>
      </c>
      <c r="G46" s="194">
        <v>2E-3</v>
      </c>
      <c r="H46" s="105">
        <f>G46*F46</f>
        <v>40</v>
      </c>
      <c r="I46" s="96">
        <f>(((1.005+(1.88*$G$46))*$C$46)+(2487*$G$46))</f>
        <v>27.657255282298369</v>
      </c>
      <c r="J46" s="97">
        <f>I46/4.1855</f>
        <v>6.6078736787237764</v>
      </c>
      <c r="K46" s="20">
        <f>F46*I46</f>
        <v>553145.10564596741</v>
      </c>
      <c r="L46" s="6">
        <f>K46/4.1855</f>
        <v>132157.47357447553</v>
      </c>
    </row>
    <row r="47" spans="2:25" ht="16.2" customHeight="1" x14ac:dyDescent="0.3">
      <c r="B47" s="19"/>
      <c r="C47" s="106"/>
      <c r="D47" s="98">
        <f>1/D46</f>
        <v>1.1917477231371854</v>
      </c>
      <c r="E47" s="20"/>
      <c r="F47" s="104"/>
      <c r="G47" s="11"/>
      <c r="H47" s="105"/>
      <c r="I47" s="96"/>
      <c r="J47" s="97"/>
      <c r="K47" s="20"/>
      <c r="L47" s="6"/>
    </row>
    <row r="48" spans="2:25" ht="16.2" customHeight="1" x14ac:dyDescent="0.3">
      <c r="B48" s="107" t="s">
        <v>61</v>
      </c>
      <c r="C48" s="106"/>
      <c r="D48" s="108"/>
      <c r="E48" s="109"/>
      <c r="F48" s="110"/>
      <c r="G48" s="111"/>
      <c r="H48" s="105"/>
      <c r="I48" s="112"/>
      <c r="J48" s="97"/>
      <c r="K48" s="263">
        <f>L48*4.1855</f>
        <v>131149.40115371975</v>
      </c>
      <c r="L48" s="195">
        <f>'Simul 1'!U40</f>
        <v>31334.225577283418</v>
      </c>
    </row>
    <row r="49" spans="2:29" ht="16.2" customHeight="1" x14ac:dyDescent="0.3">
      <c r="B49" s="176"/>
      <c r="C49" s="177"/>
      <c r="D49" s="178"/>
      <c r="E49" s="179"/>
      <c r="F49" s="180"/>
      <c r="G49" s="181"/>
      <c r="H49" s="182"/>
      <c r="I49" s="99"/>
      <c r="J49" s="100"/>
      <c r="K49" s="179"/>
      <c r="L49" s="182"/>
    </row>
    <row r="50" spans="2:29" ht="16.2" customHeight="1" x14ac:dyDescent="0.3">
      <c r="B50" s="14"/>
      <c r="C50" s="25"/>
      <c r="D50" s="26"/>
      <c r="E50" s="27"/>
      <c r="F50" s="28"/>
      <c r="G50" s="29"/>
      <c r="H50" s="30"/>
      <c r="I50" s="101"/>
      <c r="J50" s="102"/>
      <c r="K50" s="27"/>
      <c r="L50" s="30"/>
    </row>
    <row r="51" spans="2:29" ht="16.2" customHeight="1" x14ac:dyDescent="0.3">
      <c r="B51" s="158" t="s">
        <v>113</v>
      </c>
      <c r="C51" s="33">
        <f>(I51-(2487*G51))/((1.005+(1.88*G51)))</f>
        <v>28.986800963543715</v>
      </c>
      <c r="D51" s="34">
        <f>((22.41/273)*(C51+273))*((1/29)+((1/18)*G51))</f>
        <v>0.85756355645959226</v>
      </c>
      <c r="E51" s="35">
        <f>D51*F51</f>
        <v>17151.271129191846</v>
      </c>
      <c r="F51" s="36">
        <f>F46</f>
        <v>20000</v>
      </c>
      <c r="G51" s="37">
        <f>H51/F51</f>
        <v>2E-3</v>
      </c>
      <c r="H51" s="35">
        <f>SUM(H46:H49)</f>
        <v>40</v>
      </c>
      <c r="I51" s="38">
        <f>K51/F51</f>
        <v>34.214725339984355</v>
      </c>
      <c r="J51" s="114">
        <f>I51/4.1855</f>
        <v>8.1745849575879479</v>
      </c>
      <c r="K51" s="196">
        <f>K46+K48</f>
        <v>684294.50679968717</v>
      </c>
      <c r="L51" s="197">
        <f>K51/4.1855</f>
        <v>163491.69915175895</v>
      </c>
      <c r="N51" s="327" t="s">
        <v>224</v>
      </c>
      <c r="O51" s="186"/>
      <c r="P51" s="186"/>
      <c r="Q51" s="186"/>
      <c r="R51" s="186"/>
      <c r="T51" s="338" t="s">
        <v>245</v>
      </c>
      <c r="U51" s="339" t="s">
        <v>90</v>
      </c>
      <c r="V51" s="340"/>
      <c r="W51" s="341" t="s">
        <v>246</v>
      </c>
      <c r="X51" s="340"/>
    </row>
    <row r="52" spans="2:29" ht="16.2" customHeight="1" x14ac:dyDescent="0.3">
      <c r="B52" s="115"/>
      <c r="C52" s="116"/>
      <c r="D52" s="117">
        <f>1/D51</f>
        <v>1.1660943290645995</v>
      </c>
      <c r="E52" s="118"/>
      <c r="F52" s="119"/>
      <c r="G52" s="300">
        <f>I113</f>
        <v>8.1271036862356745</v>
      </c>
      <c r="H52" s="120"/>
      <c r="I52" s="121" t="s">
        <v>41</v>
      </c>
      <c r="J52" s="122"/>
      <c r="K52" s="198"/>
      <c r="L52" s="199"/>
      <c r="T52" s="257" t="s">
        <v>88</v>
      </c>
      <c r="U52" s="230">
        <v>1319</v>
      </c>
      <c r="V52" s="231" t="s">
        <v>89</v>
      </c>
      <c r="W52" s="260">
        <f>L57/H57</f>
        <v>901.87113311436269</v>
      </c>
      <c r="X52" s="223" t="s">
        <v>89</v>
      </c>
    </row>
    <row r="53" spans="2:29" ht="16.2" customHeight="1" x14ac:dyDescent="0.3">
      <c r="B53" s="14"/>
      <c r="C53" s="25"/>
      <c r="D53" s="26"/>
      <c r="E53" s="27"/>
      <c r="F53" s="28"/>
      <c r="G53" s="29"/>
      <c r="H53" s="30"/>
      <c r="I53" s="101"/>
      <c r="J53" s="102"/>
      <c r="K53" s="200"/>
      <c r="L53" s="201"/>
      <c r="T53" s="256" t="s">
        <v>269</v>
      </c>
      <c r="U53" s="262">
        <f>U54/950</f>
        <v>2.2547008547008547</v>
      </c>
      <c r="V53" s="223" t="s">
        <v>89</v>
      </c>
      <c r="W53" s="242">
        <f>W54/950</f>
        <v>1.5416600566057481</v>
      </c>
      <c r="X53" s="223" t="s">
        <v>89</v>
      </c>
      <c r="AB53" s="214"/>
    </row>
    <row r="54" spans="2:29" ht="16.2" customHeight="1" x14ac:dyDescent="0.3">
      <c r="B54" s="158" t="s">
        <v>153</v>
      </c>
      <c r="C54" s="33">
        <f>(I54-(2487*G54))/((1.005+(1.88*G54)))</f>
        <v>46.826727793881169</v>
      </c>
      <c r="D54" s="34">
        <f>((22.41/273)*(C54+273))*((1/29)+((1/18)*G54))</f>
        <v>0.9224885617643378</v>
      </c>
      <c r="E54" s="35">
        <f>D54*F54</f>
        <v>46124.42808821689</v>
      </c>
      <c r="F54" s="36">
        <f>F51+F43</f>
        <v>50000</v>
      </c>
      <c r="G54" s="37">
        <f>H54/F54</f>
        <v>1.177976282207832E-2</v>
      </c>
      <c r="H54" s="35">
        <f>H51+H43</f>
        <v>588.98814110391595</v>
      </c>
      <c r="I54" s="38">
        <f>K54/F54</f>
        <v>77.39415413599373</v>
      </c>
      <c r="J54" s="114">
        <f>I54/4.1855</f>
        <v>18.491017593117604</v>
      </c>
      <c r="K54" s="196">
        <f>L54*4.1855</f>
        <v>3869707.7067996864</v>
      </c>
      <c r="L54" s="197">
        <f>L51+L43</f>
        <v>924550.87965588016</v>
      </c>
      <c r="S54" s="214"/>
      <c r="T54" s="258" t="s">
        <v>270</v>
      </c>
      <c r="U54" s="230">
        <f>U52/585*950</f>
        <v>2141.965811965812</v>
      </c>
      <c r="V54" s="231" t="s">
        <v>89</v>
      </c>
      <c r="W54" s="260">
        <f>W52/585*950</f>
        <v>1464.5770537754606</v>
      </c>
      <c r="X54" s="223" t="s">
        <v>89</v>
      </c>
    </row>
    <row r="55" spans="2:29" ht="16.2" customHeight="1" x14ac:dyDescent="0.3">
      <c r="B55" s="115"/>
      <c r="C55" s="116"/>
      <c r="D55" s="117">
        <f>1/D54</f>
        <v>1.0840242811113181</v>
      </c>
      <c r="E55" s="118"/>
      <c r="F55" s="119"/>
      <c r="G55" s="301">
        <f>I122</f>
        <v>17.928416258051548</v>
      </c>
      <c r="H55" s="120"/>
      <c r="I55" s="121"/>
      <c r="J55" s="122"/>
      <c r="K55" s="123"/>
      <c r="L55" s="124"/>
      <c r="M55" s="214"/>
      <c r="T55" s="259" t="s">
        <v>271</v>
      </c>
      <c r="U55" s="232">
        <v>140</v>
      </c>
      <c r="V55" s="233" t="s">
        <v>89</v>
      </c>
      <c r="W55" s="261">
        <v>200</v>
      </c>
      <c r="X55" s="233" t="s">
        <v>89</v>
      </c>
      <c r="AB55" s="214"/>
      <c r="AC55" s="214"/>
    </row>
    <row r="56" spans="2:29" s="214" customFormat="1" ht="16.2" customHeight="1" x14ac:dyDescent="0.3">
      <c r="B56" s="206"/>
      <c r="C56" s="396"/>
      <c r="D56" s="397"/>
      <c r="E56" s="398"/>
      <c r="F56" s="399"/>
      <c r="G56" s="404"/>
      <c r="H56" s="398"/>
      <c r="I56" s="211"/>
      <c r="J56" s="212"/>
      <c r="K56" s="213"/>
      <c r="L56" s="213"/>
      <c r="M56"/>
      <c r="T56" s="214" t="s">
        <v>91</v>
      </c>
      <c r="Y56"/>
      <c r="Z56"/>
      <c r="AA56"/>
      <c r="AC56"/>
    </row>
    <row r="57" spans="2:29" ht="16.2" customHeight="1" x14ac:dyDescent="0.3">
      <c r="B57" s="216" t="s">
        <v>132</v>
      </c>
      <c r="C57" s="215"/>
      <c r="D57" s="217" t="s">
        <v>86</v>
      </c>
      <c r="E57" s="218">
        <f>F57*D19</f>
        <v>94787.965993060207</v>
      </c>
      <c r="F57" s="219">
        <f>F38+F46+F19</f>
        <v>111325.65098943893</v>
      </c>
      <c r="G57" s="273" t="s">
        <v>87</v>
      </c>
      <c r="H57" s="274">
        <f>H24+H40</f>
        <v>2741.3273758865253</v>
      </c>
      <c r="I57" s="220"/>
      <c r="J57" s="221" t="s">
        <v>85</v>
      </c>
      <c r="K57" s="222">
        <f>(K22+K38)-((F57-F46)*I19)</f>
        <v>10347912.213870894</v>
      </c>
      <c r="L57" s="218">
        <f>K57/4.1855</f>
        <v>2472324.0267282031</v>
      </c>
      <c r="M57" s="214"/>
      <c r="S57" s="214"/>
      <c r="AC57" s="214"/>
    </row>
    <row r="58" spans="2:29" s="214" customFormat="1" ht="16.2" customHeight="1" x14ac:dyDescent="0.3">
      <c r="B58" s="206"/>
      <c r="C58" s="207"/>
      <c r="D58" s="208"/>
      <c r="E58" s="209"/>
      <c r="F58" s="209"/>
      <c r="G58" s="210"/>
      <c r="H58" s="209"/>
      <c r="I58" s="211"/>
      <c r="J58" s="212"/>
      <c r="K58" s="213"/>
      <c r="L58" s="213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</row>
    <row r="59" spans="2:29" s="214" customFormat="1" ht="25.2" customHeight="1" x14ac:dyDescent="0.3">
      <c r="B59" s="279" t="s">
        <v>138</v>
      </c>
      <c r="C59" s="207"/>
      <c r="D59" s="208"/>
      <c r="E59" s="209"/>
      <c r="F59" s="209"/>
      <c r="G59" s="210"/>
      <c r="H59" s="209"/>
      <c r="I59" s="211"/>
      <c r="J59" s="212"/>
      <c r="K59" s="213"/>
      <c r="L59" s="213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</row>
    <row r="60" spans="2:29" ht="16.2" customHeight="1" x14ac:dyDescent="0.3">
      <c r="B60" s="126" t="s">
        <v>133</v>
      </c>
      <c r="C60" s="127"/>
      <c r="D60" s="278" t="str" cm="1">
        <f t="array" aca="1" ref="D60" ca="1">CELL("adresse",C19)</f>
        <v>$C$19</v>
      </c>
      <c r="E60" s="127"/>
      <c r="F60" s="128"/>
      <c r="G60" s="129"/>
      <c r="H60" s="129"/>
      <c r="I60" s="130"/>
      <c r="J60" s="131"/>
      <c r="K60" s="132"/>
      <c r="L60" s="133"/>
    </row>
    <row r="61" spans="2:29" ht="16.2" customHeight="1" x14ac:dyDescent="0.3">
      <c r="B61" s="3" t="s">
        <v>42</v>
      </c>
      <c r="C61" s="134"/>
      <c r="D61" s="134"/>
      <c r="E61" s="134"/>
      <c r="F61" s="134"/>
      <c r="G61" s="135">
        <f>G19</f>
        <v>8.9999999999999993E-3</v>
      </c>
      <c r="H61" s="136"/>
      <c r="I61" s="137">
        <f>100000*(G61/(G61+$B$129))</f>
        <v>1447.999993403394</v>
      </c>
      <c r="J61" s="136" t="s">
        <v>18</v>
      </c>
      <c r="K61" s="138" t="s">
        <v>19</v>
      </c>
      <c r="L61" s="139"/>
    </row>
    <row r="62" spans="2:29" x14ac:dyDescent="0.3">
      <c r="B62" s="140" t="s">
        <v>20</v>
      </c>
      <c r="C62" s="136"/>
      <c r="D62" s="136"/>
      <c r="E62" s="136"/>
      <c r="F62" s="136"/>
      <c r="G62" s="141">
        <f>C19</f>
        <v>23.5</v>
      </c>
      <c r="H62" s="142"/>
      <c r="I62" s="143">
        <f>611.14*EXP(17.269*(((273.16+G62)-273.16)/((273.16+G62)-35.86)))</f>
        <v>2896.8815193735572</v>
      </c>
      <c r="J62" s="136" t="s">
        <v>18</v>
      </c>
      <c r="K62" s="138" t="s">
        <v>21</v>
      </c>
      <c r="L62" s="139"/>
    </row>
    <row r="63" spans="2:29" ht="16.8" customHeight="1" x14ac:dyDescent="0.3">
      <c r="B63" s="140" t="s">
        <v>22</v>
      </c>
      <c r="C63" s="136"/>
      <c r="D63" s="136"/>
      <c r="E63" s="136"/>
      <c r="F63" s="136"/>
      <c r="G63" s="141">
        <f>IF(G62&gt;50,VLOOKUP(I19,'Air humide'!$H$26:$K$246,4),G62*ATAN(0.151977*SQRT(I67+8.313659))+(0.00391838*(SQRT(I67^3))*ATAN(0.023101*I67))-ATAN(I67-1.676331)+ATAN(G62+I67)-4.686035)</f>
        <v>16.706256254360298</v>
      </c>
      <c r="H63" s="142" t="s">
        <v>137</v>
      </c>
      <c r="I63" s="143">
        <f>611.14*EXP(17.269*(((273.16+G63)-273.16)/((273.16+G63)-35.86)))</f>
        <v>1902.8845479255276</v>
      </c>
      <c r="J63" s="136" t="s">
        <v>18</v>
      </c>
      <c r="K63" s="138" t="s">
        <v>23</v>
      </c>
      <c r="L63" s="139"/>
    </row>
    <row r="64" spans="2:29" ht="16.8" customHeight="1" x14ac:dyDescent="0.3">
      <c r="B64" s="140" t="s">
        <v>24</v>
      </c>
      <c r="C64" s="136"/>
      <c r="D64" s="136"/>
      <c r="E64" s="136"/>
      <c r="F64" s="136"/>
      <c r="G64" s="141">
        <f>(31.685*(LOG(I61/613.34))/(1-0.1311*(LOG(I61/613.34))))</f>
        <v>12.428503649319744</v>
      </c>
      <c r="H64" s="142"/>
      <c r="I64" s="143">
        <f>611.14*EXP(17.269*(((273.16+G64)-273.16)/((273.16+G64)-35.86)))</f>
        <v>1443.4202182703198</v>
      </c>
      <c r="J64" s="136" t="s">
        <v>18</v>
      </c>
      <c r="K64" s="138" t="s">
        <v>25</v>
      </c>
      <c r="L64" s="139"/>
    </row>
    <row r="65" spans="2:12" ht="16.8" customHeight="1" x14ac:dyDescent="0.3">
      <c r="B65" s="140" t="s">
        <v>26</v>
      </c>
      <c r="C65" s="136"/>
      <c r="D65" s="136"/>
      <c r="E65" s="136"/>
      <c r="F65" s="136"/>
      <c r="G65" s="144">
        <f>(18/29)*(I62/($L$10-I62))</f>
        <v>1.8267791959156711E-2</v>
      </c>
      <c r="H65" s="142"/>
      <c r="I65" s="143"/>
      <c r="J65" s="136"/>
      <c r="K65" s="138" t="s">
        <v>27</v>
      </c>
      <c r="L65" s="139"/>
    </row>
    <row r="66" spans="2:12" ht="16.8" customHeight="1" x14ac:dyDescent="0.3">
      <c r="B66" s="140" t="s">
        <v>28</v>
      </c>
      <c r="C66" s="136"/>
      <c r="D66" s="136"/>
      <c r="E66" s="136"/>
      <c r="F66" s="136"/>
      <c r="G66" s="144">
        <f>(18/29)*(I63/($L$10-I63))</f>
        <v>1.1879658248210875E-2</v>
      </c>
      <c r="H66" s="142"/>
      <c r="I66" s="143"/>
      <c r="J66" s="136"/>
      <c r="K66" s="138" t="s">
        <v>29</v>
      </c>
      <c r="L66" s="139"/>
    </row>
    <row r="67" spans="2:12" ht="16.8" customHeight="1" x14ac:dyDescent="0.3">
      <c r="B67" s="145" t="s">
        <v>30</v>
      </c>
      <c r="C67" s="146"/>
      <c r="D67" s="146"/>
      <c r="E67" s="146"/>
      <c r="F67" s="147" t="s">
        <v>31</v>
      </c>
      <c r="G67" s="147"/>
      <c r="H67" s="147"/>
      <c r="I67" s="148">
        <f>I61/I62%</f>
        <v>49.984784801158177</v>
      </c>
      <c r="J67" s="146" t="s">
        <v>32</v>
      </c>
      <c r="K67" s="149" t="s">
        <v>33</v>
      </c>
      <c r="L67" s="150"/>
    </row>
    <row r="68" spans="2:12" ht="16.8" customHeight="1" x14ac:dyDescent="0.3">
      <c r="B68" s="2"/>
      <c r="C68" s="2"/>
      <c r="D68" s="2"/>
      <c r="E68" s="2"/>
      <c r="F68" s="2"/>
      <c r="G68" s="2"/>
      <c r="H68" s="2"/>
      <c r="I68" s="2"/>
      <c r="J68" s="2"/>
      <c r="K68" s="51"/>
      <c r="L68" s="2"/>
    </row>
    <row r="69" spans="2:12" ht="16.8" customHeight="1" x14ac:dyDescent="0.3">
      <c r="B69" s="126" t="s">
        <v>43</v>
      </c>
      <c r="C69" s="127"/>
      <c r="D69" s="278" t="str" cm="1">
        <f t="array" aca="1" ref="D69" ca="1">CELL("adresse",C22)</f>
        <v>$C$22</v>
      </c>
      <c r="E69" s="127"/>
      <c r="F69" s="128"/>
      <c r="G69" s="129"/>
      <c r="H69" s="129"/>
      <c r="I69" s="130"/>
      <c r="J69" s="131"/>
      <c r="K69" s="151"/>
      <c r="L69" s="133"/>
    </row>
    <row r="70" spans="2:12" ht="16.8" customHeight="1" x14ac:dyDescent="0.3">
      <c r="B70" s="3" t="s">
        <v>44</v>
      </c>
      <c r="C70" s="134"/>
      <c r="D70" s="134"/>
      <c r="E70" s="134"/>
      <c r="F70" s="134"/>
      <c r="G70" s="135">
        <f>G22</f>
        <v>8.9999999999999993E-3</v>
      </c>
      <c r="H70" s="136"/>
      <c r="I70" s="137">
        <f>100000*(G70/(G70+B129))</f>
        <v>1447.999993403394</v>
      </c>
      <c r="J70" s="136" t="s">
        <v>18</v>
      </c>
      <c r="K70" s="138" t="s">
        <v>19</v>
      </c>
      <c r="L70" s="139"/>
    </row>
    <row r="71" spans="2:12" ht="16.8" customHeight="1" x14ac:dyDescent="0.3">
      <c r="B71" s="140" t="s">
        <v>20</v>
      </c>
      <c r="C71" s="134"/>
      <c r="D71" s="134"/>
      <c r="E71" s="134"/>
      <c r="F71" s="134"/>
      <c r="G71" s="141">
        <f>C22</f>
        <v>160</v>
      </c>
      <c r="H71" s="152"/>
      <c r="I71" s="143">
        <f>((G71/100)^4)*L10</f>
        <v>664043.52000000025</v>
      </c>
      <c r="J71" s="136" t="s">
        <v>18</v>
      </c>
      <c r="K71" s="138" t="s">
        <v>21</v>
      </c>
      <c r="L71" s="139"/>
    </row>
    <row r="72" spans="2:12" ht="16.8" customHeight="1" x14ac:dyDescent="0.3">
      <c r="B72" s="140" t="s">
        <v>22</v>
      </c>
      <c r="C72" s="134"/>
      <c r="D72" s="134"/>
      <c r="E72" s="134"/>
      <c r="F72" s="134"/>
      <c r="G72" s="141">
        <f>VLOOKUP(ROUND(I22,-1),'Air humide'!$H$26:$K$246,4)</f>
        <v>42.5</v>
      </c>
      <c r="H72" s="142" t="s">
        <v>137</v>
      </c>
      <c r="I72" s="143">
        <f>611.14*EXP(17.269*(((273.16+G72)-273.16)/((273.16+G72)-35.86)))</f>
        <v>8420.1858595751073</v>
      </c>
      <c r="J72" s="136" t="s">
        <v>18</v>
      </c>
      <c r="K72" s="138" t="s">
        <v>23</v>
      </c>
      <c r="L72" s="139"/>
    </row>
    <row r="73" spans="2:12" ht="16.8" customHeight="1" x14ac:dyDescent="0.3">
      <c r="B73" s="140" t="s">
        <v>24</v>
      </c>
      <c r="C73" s="134"/>
      <c r="D73" s="134"/>
      <c r="E73" s="134"/>
      <c r="F73" s="134"/>
      <c r="G73" s="141">
        <f>(31.685*(LOG(I70/613.34))/(1-0.1311*(LOG(I70/613.34))))</f>
        <v>12.428503649319744</v>
      </c>
      <c r="H73" s="152"/>
      <c r="I73" s="143">
        <f>611.14*EXP(17.269*(((273.16+G73)-273.16)/((273.16+G73)-35.86)))</f>
        <v>1443.4202182703198</v>
      </c>
      <c r="J73" s="136" t="s">
        <v>18</v>
      </c>
      <c r="K73" s="138" t="s">
        <v>25</v>
      </c>
      <c r="L73" s="139"/>
    </row>
    <row r="74" spans="2:12" ht="16.8" customHeight="1" x14ac:dyDescent="0.3">
      <c r="B74" s="140"/>
      <c r="C74" s="134"/>
      <c r="D74" s="134"/>
      <c r="E74" s="134"/>
      <c r="F74" s="134"/>
      <c r="G74" s="144"/>
      <c r="H74" s="152"/>
      <c r="I74" s="143"/>
      <c r="J74" s="134"/>
      <c r="K74" s="138"/>
      <c r="L74" s="139"/>
    </row>
    <row r="75" spans="2:12" ht="16.8" customHeight="1" x14ac:dyDescent="0.3">
      <c r="B75" s="140" t="s">
        <v>28</v>
      </c>
      <c r="C75" s="134"/>
      <c r="D75" s="134"/>
      <c r="E75" s="134"/>
      <c r="F75" s="134"/>
      <c r="G75" s="144">
        <f>(18/29)*(I72/($L$10-I72))</f>
        <v>5.6254590313993456E-2</v>
      </c>
      <c r="H75" s="152"/>
      <c r="I75" s="143"/>
      <c r="J75" s="134"/>
      <c r="K75" s="138" t="s">
        <v>29</v>
      </c>
      <c r="L75" s="139"/>
    </row>
    <row r="76" spans="2:12" ht="16.8" customHeight="1" x14ac:dyDescent="0.3">
      <c r="B76" s="145" t="s">
        <v>30</v>
      </c>
      <c r="C76" s="146"/>
      <c r="D76" s="146"/>
      <c r="E76" s="146"/>
      <c r="F76" s="147" t="s">
        <v>31</v>
      </c>
      <c r="G76" s="147"/>
      <c r="H76" s="147"/>
      <c r="I76" s="153">
        <f>I70/I71%</f>
        <v>0.21805799616919588</v>
      </c>
      <c r="J76" s="146" t="s">
        <v>32</v>
      </c>
      <c r="K76" s="149" t="s">
        <v>33</v>
      </c>
      <c r="L76" s="150"/>
    </row>
    <row r="77" spans="2:12" ht="16.8" customHeight="1" x14ac:dyDescent="0.3"/>
    <row r="78" spans="2:12" ht="16.8" customHeight="1" x14ac:dyDescent="0.3">
      <c r="B78" s="126" t="s">
        <v>134</v>
      </c>
      <c r="C78" s="127"/>
      <c r="D78" s="278" t="str" cm="1">
        <f t="array" aca="1" ref="D78" ca="1">CELL("adresse",C27)</f>
        <v>$C$27</v>
      </c>
      <c r="E78" s="127"/>
      <c r="F78" s="128"/>
      <c r="G78" s="129"/>
      <c r="H78" s="129"/>
      <c r="I78" s="130"/>
      <c r="J78" s="131"/>
      <c r="K78" s="151"/>
      <c r="L78" s="133"/>
    </row>
    <row r="79" spans="2:12" ht="16.8" customHeight="1" x14ac:dyDescent="0.3">
      <c r="B79" s="3" t="s">
        <v>46</v>
      </c>
      <c r="C79" s="134"/>
      <c r="D79" s="134"/>
      <c r="E79" s="134"/>
      <c r="F79" s="134"/>
      <c r="G79" s="135">
        <f>G27</f>
        <v>4.9151864595887544E-2</v>
      </c>
      <c r="H79" s="136"/>
      <c r="I79" s="137">
        <f>100000*(G79/(G79+B129))</f>
        <v>7428.1323254698063</v>
      </c>
      <c r="J79" s="136" t="s">
        <v>18</v>
      </c>
      <c r="K79" s="138" t="s">
        <v>19</v>
      </c>
      <c r="L79" s="139"/>
    </row>
    <row r="80" spans="2:12" ht="16.8" customHeight="1" x14ac:dyDescent="0.3">
      <c r="B80" s="140" t="s">
        <v>20</v>
      </c>
      <c r="C80" s="134"/>
      <c r="D80" s="134"/>
      <c r="E80" s="134"/>
      <c r="F80" s="134"/>
      <c r="G80" s="141">
        <f>C27</f>
        <v>57.999994017245335</v>
      </c>
      <c r="H80" s="152"/>
      <c r="I80" s="143">
        <f t="shared" ref="I80" si="2">611.14*EXP(17.269*(((273.16+G80)-273.16)/((273.16+G80)-35.86)))</f>
        <v>18162.921254342127</v>
      </c>
      <c r="J80" s="136" t="s">
        <v>18</v>
      </c>
      <c r="K80" s="138" t="s">
        <v>21</v>
      </c>
      <c r="L80" s="139"/>
    </row>
    <row r="81" spans="2:29" ht="16.8" customHeight="1" x14ac:dyDescent="0.3">
      <c r="B81" s="140" t="s">
        <v>22</v>
      </c>
      <c r="C81" s="134"/>
      <c r="D81" s="134"/>
      <c r="E81" s="134"/>
      <c r="F81" s="134"/>
      <c r="G81" s="141">
        <f>VLOOKUP(ROUND(I27,-1),'Air humide'!$H$26:$K$246,4)</f>
        <v>42.5</v>
      </c>
      <c r="H81" s="142" t="s">
        <v>137</v>
      </c>
      <c r="I81" s="143">
        <f>611.14*EXP(17.269*(((273.16+G81)-273.16)/((273.16+G81)-35.86)))</f>
        <v>8420.1858595751073</v>
      </c>
      <c r="J81" s="136" t="s">
        <v>18</v>
      </c>
      <c r="K81" s="138" t="s">
        <v>23</v>
      </c>
      <c r="L81" s="139"/>
    </row>
    <row r="82" spans="2:29" ht="16.8" customHeight="1" x14ac:dyDescent="0.3">
      <c r="B82" s="140" t="s">
        <v>24</v>
      </c>
      <c r="C82" s="134"/>
      <c r="D82" s="134"/>
      <c r="E82" s="134"/>
      <c r="F82" s="134"/>
      <c r="G82" s="141">
        <f>(31.685*(LOG(I79/613.34))/(1-0.1311*(LOG(I79/613.34))))</f>
        <v>40.00080772339949</v>
      </c>
      <c r="H82" s="152"/>
      <c r="I82" s="143">
        <f>611.14*EXP(17.269*(((273.16+G82)-273.16)/((273.16+G82)-35.86)))</f>
        <v>7378.9723965061121</v>
      </c>
      <c r="J82" s="136" t="s">
        <v>18</v>
      </c>
      <c r="K82" s="138" t="s">
        <v>25</v>
      </c>
      <c r="L82" s="139"/>
    </row>
    <row r="83" spans="2:29" ht="16.8" customHeight="1" x14ac:dyDescent="0.3">
      <c r="B83" s="140"/>
      <c r="C83" s="134"/>
      <c r="D83" s="134"/>
      <c r="E83" s="134"/>
      <c r="F83" s="134"/>
      <c r="G83" s="144"/>
      <c r="H83" s="152"/>
      <c r="I83" s="143"/>
      <c r="J83" s="134"/>
      <c r="K83" s="138"/>
      <c r="L83" s="139"/>
      <c r="T83" s="214"/>
      <c r="U83" s="214"/>
      <c r="V83" s="214"/>
      <c r="W83" s="214"/>
      <c r="X83" s="214"/>
      <c r="Y83" s="214"/>
      <c r="Z83" s="214"/>
      <c r="AA83" s="214"/>
      <c r="AB83" s="214"/>
    </row>
    <row r="84" spans="2:29" ht="16.8" customHeight="1" x14ac:dyDescent="0.3">
      <c r="B84" s="140" t="s">
        <v>28</v>
      </c>
      <c r="C84" s="134"/>
      <c r="D84" s="134"/>
      <c r="E84" s="134"/>
      <c r="F84" s="134"/>
      <c r="G84" s="144">
        <f>(18/29)*(I81/($L$10-I81))</f>
        <v>5.6254590313993456E-2</v>
      </c>
      <c r="H84" s="152"/>
      <c r="I84" s="143"/>
      <c r="J84" s="134"/>
      <c r="K84" s="138" t="s">
        <v>29</v>
      </c>
      <c r="L84" s="139"/>
      <c r="N84" s="214"/>
      <c r="O84" s="214"/>
      <c r="P84" s="214"/>
      <c r="Q84" s="214"/>
      <c r="R84" s="214"/>
      <c r="S84" s="214"/>
    </row>
    <row r="85" spans="2:29" ht="16.8" customHeight="1" x14ac:dyDescent="0.3">
      <c r="B85" s="145" t="s">
        <v>30</v>
      </c>
      <c r="C85" s="146"/>
      <c r="D85" s="146"/>
      <c r="E85" s="146"/>
      <c r="F85" s="147" t="s">
        <v>31</v>
      </c>
      <c r="G85" s="147"/>
      <c r="H85" s="147"/>
      <c r="I85" s="148">
        <f>I79/I80%</f>
        <v>40.897233553187363</v>
      </c>
      <c r="J85" s="146" t="s">
        <v>32</v>
      </c>
      <c r="K85" s="149" t="s">
        <v>33</v>
      </c>
      <c r="L85" s="150"/>
      <c r="M85" s="214"/>
      <c r="AC85" s="214"/>
    </row>
    <row r="86" spans="2:29" s="214" customFormat="1" ht="16.8" customHeight="1" x14ac:dyDescent="0.3">
      <c r="B86" s="284"/>
      <c r="C86" s="284"/>
      <c r="D86" s="284"/>
      <c r="E86" s="284"/>
      <c r="F86" s="285"/>
      <c r="G86" s="285"/>
      <c r="H86" s="285"/>
      <c r="I86" s="286"/>
      <c r="J86" s="284"/>
      <c r="K86" s="287"/>
      <c r="L86" s="288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</row>
    <row r="87" spans="2:29" ht="16.8" customHeight="1" x14ac:dyDescent="0.3">
      <c r="B87" s="126" t="s">
        <v>110</v>
      </c>
      <c r="C87" s="127"/>
      <c r="D87" s="127"/>
      <c r="E87" s="127"/>
      <c r="F87" s="278" t="str" cm="1">
        <f t="array" aca="1" ref="F87" ca="1">CELL("adresse",C34)</f>
        <v>$C$34</v>
      </c>
      <c r="G87" s="129"/>
      <c r="H87" s="129"/>
      <c r="I87" s="130"/>
      <c r="J87" s="131"/>
      <c r="K87" s="151"/>
      <c r="L87" s="133"/>
    </row>
    <row r="88" spans="2:29" ht="16.8" customHeight="1" x14ac:dyDescent="0.3">
      <c r="B88" s="3" t="s">
        <v>46</v>
      </c>
      <c r="C88" s="134"/>
      <c r="D88" s="134"/>
      <c r="E88" s="134"/>
      <c r="F88" s="134"/>
      <c r="G88" s="135">
        <f>G34</f>
        <v>3.2366828334408793E-2</v>
      </c>
      <c r="H88" s="136"/>
      <c r="I88" s="137">
        <f>100000*(G88/(G88+B129))</f>
        <v>5018.783705856853</v>
      </c>
      <c r="J88" s="136" t="s">
        <v>18</v>
      </c>
      <c r="K88" s="138" t="s">
        <v>19</v>
      </c>
      <c r="L88" s="139"/>
    </row>
    <row r="89" spans="2:29" ht="16.8" customHeight="1" x14ac:dyDescent="0.3">
      <c r="B89" s="140" t="s">
        <v>20</v>
      </c>
      <c r="C89" s="134"/>
      <c r="D89" s="134"/>
      <c r="E89" s="134"/>
      <c r="F89" s="134"/>
      <c r="G89" s="141">
        <f>C34</f>
        <v>53.163940193604837</v>
      </c>
      <c r="H89" s="152"/>
      <c r="I89" s="143">
        <f t="shared" ref="I89" si="3">611.14*EXP(17.269*(((273.16+G89)-273.16)/((273.16+G89)-35.86)))</f>
        <v>14415.949414374227</v>
      </c>
      <c r="J89" s="136" t="s">
        <v>18</v>
      </c>
      <c r="K89" s="138" t="s">
        <v>21</v>
      </c>
      <c r="L89" s="139"/>
    </row>
    <row r="90" spans="2:29" ht="16.8" customHeight="1" x14ac:dyDescent="0.3">
      <c r="B90" s="140" t="s">
        <v>22</v>
      </c>
      <c r="C90" s="134"/>
      <c r="D90" s="134"/>
      <c r="E90" s="134"/>
      <c r="F90" s="134"/>
      <c r="G90" s="141">
        <f>VLOOKUP(I34,'Air humide'!$H$26:$K$246,4)</f>
        <v>36</v>
      </c>
      <c r="H90" s="142" t="s">
        <v>137</v>
      </c>
      <c r="I90" s="143">
        <f>611.14*EXP(17.269*(((273.16+G90)-273.16)/((273.16+G90)-35.86)))</f>
        <v>5943.5217879457796</v>
      </c>
      <c r="J90" s="136" t="s">
        <v>18</v>
      </c>
      <c r="K90" s="138" t="s">
        <v>23</v>
      </c>
      <c r="L90" s="139"/>
    </row>
    <row r="91" spans="2:29" ht="16.8" customHeight="1" x14ac:dyDescent="0.3">
      <c r="B91" s="140" t="s">
        <v>24</v>
      </c>
      <c r="C91" s="134"/>
      <c r="D91" s="134"/>
      <c r="E91" s="134"/>
      <c r="F91" s="134"/>
      <c r="G91" s="141">
        <f>(31.685*(LOG(I88/613.34))/(1-0.1311*(LOG(I88/613.34))))</f>
        <v>32.857568245895138</v>
      </c>
      <c r="H91" s="152"/>
      <c r="I91" s="143">
        <f>611.14*EXP(17.269*(((273.16+G91)-273.16)/((273.16+G91)-35.86)))</f>
        <v>4992.2703938066516</v>
      </c>
      <c r="J91" s="136" t="s">
        <v>18</v>
      </c>
      <c r="K91" s="138" t="s">
        <v>25</v>
      </c>
      <c r="L91" s="139"/>
    </row>
    <row r="92" spans="2:29" ht="16.8" customHeight="1" x14ac:dyDescent="0.3">
      <c r="B92" s="140"/>
      <c r="C92" s="134"/>
      <c r="D92" s="134"/>
      <c r="E92" s="134"/>
      <c r="F92" s="134"/>
      <c r="G92" s="144"/>
      <c r="H92" s="152"/>
      <c r="I92" s="143"/>
      <c r="J92" s="134"/>
      <c r="K92" s="138"/>
      <c r="L92" s="139"/>
    </row>
    <row r="93" spans="2:29" ht="16.8" customHeight="1" x14ac:dyDescent="0.3">
      <c r="B93" s="140" t="s">
        <v>28</v>
      </c>
      <c r="C93" s="134"/>
      <c r="D93" s="134"/>
      <c r="E93" s="134"/>
      <c r="F93" s="134"/>
      <c r="G93" s="144">
        <f>(18/29)*(I90/($L$10-I90))</f>
        <v>3.8677136884670039E-2</v>
      </c>
      <c r="H93" s="152"/>
      <c r="I93" s="143"/>
      <c r="J93" s="134"/>
      <c r="K93" s="138" t="s">
        <v>29</v>
      </c>
      <c r="L93" s="139"/>
    </row>
    <row r="94" spans="2:29" ht="16.8" customHeight="1" x14ac:dyDescent="0.3">
      <c r="B94" s="145" t="s">
        <v>30</v>
      </c>
      <c r="C94" s="146"/>
      <c r="D94" s="146"/>
      <c r="E94" s="146"/>
      <c r="F94" s="147" t="s">
        <v>31</v>
      </c>
      <c r="G94" s="147"/>
      <c r="H94" s="147"/>
      <c r="I94" s="148">
        <f>I88/I89%</f>
        <v>34.814104583723044</v>
      </c>
      <c r="J94" s="146" t="s">
        <v>32</v>
      </c>
      <c r="K94" s="149" t="s">
        <v>33</v>
      </c>
      <c r="L94" s="150"/>
    </row>
    <row r="95" spans="2:29" ht="16.8" customHeight="1" x14ac:dyDescent="0.3">
      <c r="B95" s="284"/>
      <c r="C95" s="284"/>
      <c r="D95" s="284"/>
      <c r="E95" s="284"/>
      <c r="F95" s="285"/>
      <c r="G95" s="285"/>
      <c r="H95" s="285"/>
      <c r="I95" s="286"/>
      <c r="J95" s="284"/>
      <c r="K95" s="287"/>
      <c r="L95" s="288"/>
    </row>
    <row r="96" spans="2:29" ht="16.8" customHeight="1" x14ac:dyDescent="0.3">
      <c r="B96" s="279" t="s">
        <v>138</v>
      </c>
    </row>
    <row r="97" spans="2:28" ht="16.8" customHeight="1" x14ac:dyDescent="0.3">
      <c r="B97" s="126" t="s">
        <v>135</v>
      </c>
      <c r="C97" s="127"/>
      <c r="D97" s="278" t="str" cm="1">
        <f t="array" aca="1" ref="D97" ca="1">CELL("adresse",C43)</f>
        <v>$C$43</v>
      </c>
      <c r="E97" s="127"/>
      <c r="F97" s="128"/>
      <c r="G97" s="129"/>
      <c r="H97" s="129"/>
      <c r="I97" s="130"/>
      <c r="J97" s="131"/>
      <c r="K97" s="151"/>
      <c r="L97" s="133"/>
    </row>
    <row r="98" spans="2:28" ht="16.8" customHeight="1" x14ac:dyDescent="0.3">
      <c r="B98" s="3" t="s">
        <v>46</v>
      </c>
      <c r="C98" s="134"/>
      <c r="D98" s="134"/>
      <c r="E98" s="134"/>
      <c r="F98" s="134"/>
      <c r="G98" s="135">
        <f>G43</f>
        <v>1.8299604703463864E-2</v>
      </c>
      <c r="H98" s="136"/>
      <c r="I98" s="137">
        <f>100000*(G98/(G98+B129))</f>
        <v>2900.8011784076484</v>
      </c>
      <c r="J98" s="136" t="s">
        <v>18</v>
      </c>
      <c r="K98" s="138" t="s">
        <v>19</v>
      </c>
      <c r="L98" s="139"/>
    </row>
    <row r="99" spans="2:28" ht="16.8" customHeight="1" x14ac:dyDescent="0.3">
      <c r="B99" s="140" t="s">
        <v>20</v>
      </c>
      <c r="C99" s="134"/>
      <c r="D99" s="134"/>
      <c r="E99" s="134"/>
      <c r="F99" s="134"/>
      <c r="G99" s="141">
        <f>C43</f>
        <v>58.369379452192568</v>
      </c>
      <c r="H99" s="152"/>
      <c r="I99" s="143">
        <f t="shared" ref="I99" si="4">611.14*EXP(17.269*(((273.16+G99)-273.16)/((273.16+G99)-35.86)))</f>
        <v>18480.557998559125</v>
      </c>
      <c r="J99" s="136" t="s">
        <v>18</v>
      </c>
      <c r="K99" s="138" t="s">
        <v>21</v>
      </c>
      <c r="L99" s="139"/>
    </row>
    <row r="100" spans="2:28" ht="16.8" customHeight="1" x14ac:dyDescent="0.3">
      <c r="B100" s="140" t="s">
        <v>22</v>
      </c>
      <c r="C100" s="134"/>
      <c r="D100" s="134"/>
      <c r="E100" s="134"/>
      <c r="F100" s="134"/>
      <c r="G100" s="141">
        <f>VLOOKUP(I43,'Air humide'!$H$26:$K$246,4)</f>
        <v>31</v>
      </c>
      <c r="H100" s="142" t="s">
        <v>137</v>
      </c>
      <c r="I100" s="143">
        <f>611.14*EXP(17.269*(((273.16+G100)-273.16)/((273.16+G100)-35.86)))</f>
        <v>4494.573695808529</v>
      </c>
      <c r="J100" s="136" t="s">
        <v>18</v>
      </c>
      <c r="K100" s="138" t="s">
        <v>23</v>
      </c>
      <c r="L100" s="139"/>
    </row>
    <row r="101" spans="2:28" ht="16.8" customHeight="1" x14ac:dyDescent="0.3">
      <c r="B101" s="140" t="s">
        <v>24</v>
      </c>
      <c r="C101" s="134"/>
      <c r="D101" s="134"/>
      <c r="E101" s="134"/>
      <c r="F101" s="134"/>
      <c r="G101" s="141">
        <f>(31.685*(LOG(I98/613.34))/(1-0.1311*(LOG(I98/613.34))))</f>
        <v>23.45674892025713</v>
      </c>
      <c r="H101" s="152"/>
      <c r="I101" s="143">
        <f>611.14*EXP(17.269*(((273.16+G101)-273.16)/((273.16+G101)-35.86)))</f>
        <v>2889.3413057607781</v>
      </c>
      <c r="J101" s="136" t="s">
        <v>18</v>
      </c>
      <c r="K101" s="138" t="s">
        <v>25</v>
      </c>
      <c r="L101" s="139"/>
    </row>
    <row r="102" spans="2:28" ht="16.8" customHeight="1" x14ac:dyDescent="0.3">
      <c r="B102" s="140"/>
      <c r="C102" s="134"/>
      <c r="D102" s="134"/>
      <c r="E102" s="134"/>
      <c r="F102" s="134"/>
      <c r="G102" s="144"/>
      <c r="H102" s="152"/>
      <c r="I102" s="143"/>
      <c r="J102" s="134"/>
      <c r="K102" s="138"/>
      <c r="L102" s="139"/>
    </row>
    <row r="103" spans="2:28" ht="16.8" customHeight="1" x14ac:dyDescent="0.3">
      <c r="B103" s="140" t="s">
        <v>28</v>
      </c>
      <c r="C103" s="134"/>
      <c r="D103" s="134"/>
      <c r="E103" s="134"/>
      <c r="F103" s="134"/>
      <c r="G103" s="144">
        <f>(18/29)*(I100/($L$10-I100))</f>
        <v>2.8810524789331007E-2</v>
      </c>
      <c r="H103" s="152"/>
      <c r="I103" s="143"/>
      <c r="J103" s="134"/>
      <c r="K103" s="138" t="s">
        <v>29</v>
      </c>
      <c r="L103" s="139"/>
    </row>
    <row r="104" spans="2:28" ht="16.8" customHeight="1" x14ac:dyDescent="0.3">
      <c r="B104" s="145" t="s">
        <v>30</v>
      </c>
      <c r="C104" s="146"/>
      <c r="D104" s="146"/>
      <c r="E104" s="146"/>
      <c r="F104" s="147" t="s">
        <v>31</v>
      </c>
      <c r="G104" s="147"/>
      <c r="H104" s="147"/>
      <c r="I104" s="148">
        <f>I98/I99%</f>
        <v>15.696502122034495</v>
      </c>
      <c r="J104" s="146" t="s">
        <v>32</v>
      </c>
      <c r="K104" s="149" t="s">
        <v>33</v>
      </c>
      <c r="L104" s="150"/>
    </row>
    <row r="105" spans="2:28" ht="16.8" customHeight="1" x14ac:dyDescent="0.3"/>
    <row r="106" spans="2:28" ht="16.8" customHeight="1" x14ac:dyDescent="0.3">
      <c r="B106" s="126" t="s">
        <v>125</v>
      </c>
      <c r="C106" s="127"/>
      <c r="D106" s="278" t="str" cm="1">
        <f t="array" aca="1" ref="D106" ca="1">CELL("adresse",C51)</f>
        <v>$C$51</v>
      </c>
      <c r="E106" s="127"/>
      <c r="F106" s="128"/>
      <c r="G106" s="129"/>
      <c r="H106" s="129"/>
      <c r="I106" s="130"/>
      <c r="J106" s="131"/>
      <c r="K106" s="151"/>
      <c r="L106" s="133"/>
    </row>
    <row r="107" spans="2:28" ht="16.8" customHeight="1" x14ac:dyDescent="0.3">
      <c r="B107" s="3" t="s">
        <v>46</v>
      </c>
      <c r="C107" s="134"/>
      <c r="D107" s="134"/>
      <c r="E107" s="134"/>
      <c r="F107" s="134"/>
      <c r="G107" s="135">
        <f>G51</f>
        <v>2E-3</v>
      </c>
      <c r="H107" s="136"/>
      <c r="I107" s="137">
        <f>100000*(G107/(G107+B129))</f>
        <v>325.44298754152442</v>
      </c>
      <c r="J107" s="136" t="s">
        <v>18</v>
      </c>
      <c r="K107" s="138" t="s">
        <v>19</v>
      </c>
      <c r="L107" s="139"/>
    </row>
    <row r="108" spans="2:28" ht="16.8" customHeight="1" x14ac:dyDescent="0.3">
      <c r="B108" s="140" t="s">
        <v>20</v>
      </c>
      <c r="C108" s="134"/>
      <c r="D108" s="134"/>
      <c r="E108" s="134"/>
      <c r="F108" s="134"/>
      <c r="G108" s="141">
        <f>C51</f>
        <v>28.986800963543715</v>
      </c>
      <c r="H108" s="152"/>
      <c r="I108" s="143">
        <f t="shared" ref="I108" si="5">611.14*EXP(17.269*(((273.16+G108)-273.16)/((273.16+G108)-35.86)))</f>
        <v>4004.4153502397812</v>
      </c>
      <c r="J108" s="136" t="s">
        <v>18</v>
      </c>
      <c r="K108" s="138" t="s">
        <v>21</v>
      </c>
      <c r="L108" s="139"/>
    </row>
    <row r="109" spans="2:28" ht="16.8" customHeight="1" x14ac:dyDescent="0.3">
      <c r="B109" s="140" t="s">
        <v>22</v>
      </c>
      <c r="C109" s="134"/>
      <c r="D109" s="134"/>
      <c r="E109" s="134"/>
      <c r="F109" s="134"/>
      <c r="G109" s="141">
        <f>IF(G108&gt;50,VLOOKUP(I65,'Air humide'!$H$26:$K$246,4),G108*ATAN(0.151977*SQRT(I113+8.313659))+(0.00391838*(SQRT(I113^3))*ATAN(0.023101*I113))-ATAN(I113-1.676331)+ATAN(G108+I113)-4.686035)</f>
        <v>11.466033086146187</v>
      </c>
      <c r="H109" s="142" t="s">
        <v>45</v>
      </c>
      <c r="I109" s="143">
        <f>611.14*EXP(17.269*(((273.16+G109)-273.16)/((273.16+G109)-35.86)))</f>
        <v>1354.6284683087104</v>
      </c>
      <c r="J109" s="136" t="s">
        <v>18</v>
      </c>
      <c r="K109" s="138" t="s">
        <v>23</v>
      </c>
      <c r="L109" s="139"/>
    </row>
    <row r="110" spans="2:28" ht="16.8" customHeight="1" x14ac:dyDescent="0.3">
      <c r="B110" s="140" t="s">
        <v>24</v>
      </c>
      <c r="C110" s="134"/>
      <c r="D110" s="134"/>
      <c r="E110" s="134"/>
      <c r="F110" s="134"/>
      <c r="G110" s="141">
        <f>(31.685*(LOG(I107/613.34))/(1-0.1311*(LOG(I107/613.34))))+1</f>
        <v>-7.4168493105797353</v>
      </c>
      <c r="H110" s="152"/>
      <c r="I110" s="143">
        <f>611.14*EXP(17.269*(((273.16+G110)-273.16)/((273.16+G110)-35.86)))</f>
        <v>350.08171945817548</v>
      </c>
      <c r="J110" s="136" t="s">
        <v>18</v>
      </c>
      <c r="K110" s="138" t="s">
        <v>25</v>
      </c>
      <c r="L110" s="139"/>
    </row>
    <row r="111" spans="2:28" ht="16.8" customHeight="1" x14ac:dyDescent="0.3">
      <c r="B111" s="140"/>
      <c r="C111" s="134"/>
      <c r="D111" s="134"/>
      <c r="E111" s="134"/>
      <c r="F111" s="134"/>
      <c r="G111" s="144"/>
      <c r="H111" s="152"/>
      <c r="I111" s="143"/>
      <c r="J111" s="134"/>
      <c r="K111" s="138"/>
      <c r="L111" s="139"/>
      <c r="AB111" s="214"/>
    </row>
    <row r="112" spans="2:28" ht="16.8" customHeight="1" x14ac:dyDescent="0.3">
      <c r="B112" s="140" t="s">
        <v>28</v>
      </c>
      <c r="C112" s="134"/>
      <c r="D112" s="134"/>
      <c r="E112" s="134"/>
      <c r="F112" s="134"/>
      <c r="G112" s="144">
        <f>(18/29)*(I109/($L$10-I109))</f>
        <v>8.4105306802298718E-3</v>
      </c>
      <c r="H112" s="152"/>
      <c r="I112" s="143"/>
      <c r="J112" s="134"/>
      <c r="K112" s="138" t="s">
        <v>29</v>
      </c>
      <c r="L112" s="139"/>
      <c r="N112" s="214"/>
      <c r="O112" s="214"/>
      <c r="P112" s="214"/>
      <c r="Q112" s="214"/>
      <c r="R112" s="214"/>
      <c r="S112" s="214"/>
    </row>
    <row r="113" spans="2:29" x14ac:dyDescent="0.3">
      <c r="B113" s="145" t="s">
        <v>30</v>
      </c>
      <c r="C113" s="146"/>
      <c r="D113" s="146"/>
      <c r="E113" s="146"/>
      <c r="F113" s="147" t="s">
        <v>31</v>
      </c>
      <c r="G113" s="147"/>
      <c r="H113" s="147"/>
      <c r="I113" s="148">
        <f>I107/I108%</f>
        <v>8.1271036862356745</v>
      </c>
      <c r="J113" s="146" t="s">
        <v>32</v>
      </c>
      <c r="K113" s="149" t="s">
        <v>33</v>
      </c>
      <c r="L113" s="150"/>
      <c r="M113" s="214"/>
      <c r="AC113" s="214"/>
    </row>
    <row r="114" spans="2:29" s="214" customFormat="1" x14ac:dyDescent="0.3">
      <c r="B114" s="254"/>
      <c r="C114" s="250"/>
      <c r="D114" s="250"/>
      <c r="E114" s="250"/>
      <c r="F114" s="251"/>
      <c r="G114" s="251"/>
      <c r="H114" s="251"/>
      <c r="I114" s="252"/>
      <c r="J114" s="250"/>
      <c r="K114" s="253"/>
      <c r="L114" s="255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</row>
    <row r="115" spans="2:29" x14ac:dyDescent="0.3">
      <c r="B115" s="126" t="s">
        <v>136</v>
      </c>
      <c r="C115" s="127"/>
      <c r="D115" s="278" t="str" cm="1">
        <f t="array" aca="1" ref="D115" ca="1">CELL("adresse",C54)</f>
        <v>$C$54</v>
      </c>
      <c r="E115" s="127"/>
      <c r="F115" s="128"/>
      <c r="G115" s="129"/>
      <c r="H115" s="129"/>
      <c r="I115" s="130"/>
      <c r="J115" s="131"/>
      <c r="K115" s="151"/>
      <c r="L115" s="133"/>
    </row>
    <row r="116" spans="2:29" x14ac:dyDescent="0.3">
      <c r="B116" s="3" t="s">
        <v>46</v>
      </c>
      <c r="C116" s="134"/>
      <c r="D116" s="134"/>
      <c r="E116" s="134"/>
      <c r="F116" s="134"/>
      <c r="G116" s="135">
        <f>G54</f>
        <v>1.177976282207832E-2</v>
      </c>
      <c r="H116" s="136"/>
      <c r="I116" s="137">
        <f>100000*(G116/(G116+B129))</f>
        <v>1886.7945761455621</v>
      </c>
      <c r="J116" s="136" t="s">
        <v>18</v>
      </c>
      <c r="K116" s="138" t="s">
        <v>19</v>
      </c>
      <c r="L116" s="139"/>
    </row>
    <row r="117" spans="2:29" x14ac:dyDescent="0.3">
      <c r="B117" s="140" t="s">
        <v>20</v>
      </c>
      <c r="C117" s="134"/>
      <c r="D117" s="134"/>
      <c r="E117" s="134"/>
      <c r="F117" s="134"/>
      <c r="G117" s="141">
        <f>C54</f>
        <v>46.826727793881169</v>
      </c>
      <c r="H117" s="152"/>
      <c r="I117" s="143">
        <f t="shared" ref="I117" si="6">611.14*EXP(17.269*(((273.16+G117)-273.16)/((273.16+G117)-35.86)))</f>
        <v>10524.044896035999</v>
      </c>
      <c r="J117" s="136" t="s">
        <v>18</v>
      </c>
      <c r="K117" s="138" t="s">
        <v>21</v>
      </c>
      <c r="L117" s="139"/>
    </row>
    <row r="118" spans="2:29" x14ac:dyDescent="0.3">
      <c r="B118" s="140" t="s">
        <v>22</v>
      </c>
      <c r="C118" s="134"/>
      <c r="D118" s="134"/>
      <c r="E118" s="134"/>
      <c r="F118" s="134"/>
      <c r="G118" s="141">
        <f>IF(G117&gt;50,VLOOKUP(I74,'Air humide'!$H$26:$K$246,4),G117*ATAN(0.151977*SQRT(I122+8.313659))+(0.00391838*(SQRT(I122^3))*ATAN(0.023101*I122))-ATAN(I122-1.676331)+ATAN(G117+I122)-4.686035)</f>
        <v>26.453285495814566</v>
      </c>
      <c r="H118" s="142" t="s">
        <v>137</v>
      </c>
      <c r="I118" s="143">
        <f>611.14*EXP(17.269*(((273.16+G118)-273.16)/((273.16+G118)-35.86)))</f>
        <v>3454.1449502339965</v>
      </c>
      <c r="J118" s="136" t="s">
        <v>18</v>
      </c>
      <c r="K118" s="138" t="s">
        <v>23</v>
      </c>
      <c r="L118" s="139"/>
    </row>
    <row r="119" spans="2:29" x14ac:dyDescent="0.3">
      <c r="B119" s="140" t="s">
        <v>24</v>
      </c>
      <c r="C119" s="134"/>
      <c r="D119" s="134"/>
      <c r="E119" s="134"/>
      <c r="F119" s="134"/>
      <c r="G119" s="141">
        <f>(31.685*(LOG(I116/613.34))/(1-0.1311*(LOG(I116/613.34))))</f>
        <v>16.519964193027445</v>
      </c>
      <c r="H119" s="152"/>
      <c r="I119" s="143">
        <f>611.14*EXP(17.269*(((273.16+G119)-273.16)/((273.16+G119)-35.86)))</f>
        <v>1880.4853320202185</v>
      </c>
      <c r="J119" s="136" t="s">
        <v>18</v>
      </c>
      <c r="K119" s="138" t="s">
        <v>25</v>
      </c>
      <c r="L119" s="139"/>
    </row>
    <row r="120" spans="2:29" x14ac:dyDescent="0.3">
      <c r="B120" s="140"/>
      <c r="C120" s="134"/>
      <c r="D120" s="134"/>
      <c r="E120" s="134"/>
      <c r="F120" s="134"/>
      <c r="G120" s="144"/>
      <c r="H120" s="152"/>
      <c r="I120" s="143"/>
      <c r="J120" s="134"/>
      <c r="K120" s="138"/>
      <c r="L120" s="139"/>
    </row>
    <row r="121" spans="2:29" x14ac:dyDescent="0.3">
      <c r="B121" s="140" t="s">
        <v>28</v>
      </c>
      <c r="C121" s="134"/>
      <c r="D121" s="134"/>
      <c r="E121" s="134"/>
      <c r="F121" s="134"/>
      <c r="G121" s="144">
        <f>(18/29)*(I118/($L$10-I118))</f>
        <v>2.1905929369740392E-2</v>
      </c>
      <c r="H121" s="152"/>
      <c r="I121" s="143"/>
      <c r="J121" s="134"/>
      <c r="K121" s="138" t="s">
        <v>29</v>
      </c>
      <c r="L121" s="139"/>
    </row>
    <row r="122" spans="2:29" x14ac:dyDescent="0.3">
      <c r="B122" s="145" t="s">
        <v>30</v>
      </c>
      <c r="C122" s="146"/>
      <c r="D122" s="146"/>
      <c r="E122" s="146"/>
      <c r="F122" s="147" t="s">
        <v>31</v>
      </c>
      <c r="G122" s="147"/>
      <c r="H122" s="147"/>
      <c r="I122" s="148">
        <f>I116/I117%</f>
        <v>17.928416258051548</v>
      </c>
      <c r="J122" s="146" t="s">
        <v>32</v>
      </c>
      <c r="K122" s="149" t="s">
        <v>33</v>
      </c>
      <c r="L122" s="150"/>
    </row>
    <row r="123" spans="2:29" x14ac:dyDescent="0.3">
      <c r="B123" s="289"/>
      <c r="C123" s="289"/>
      <c r="D123" s="289"/>
      <c r="E123" s="289"/>
      <c r="F123" s="289"/>
      <c r="G123" s="289"/>
      <c r="H123" s="289"/>
      <c r="I123" s="289"/>
      <c r="J123" s="289"/>
      <c r="K123" s="289"/>
      <c r="L123" s="289"/>
    </row>
    <row r="124" spans="2:29" x14ac:dyDescent="0.3">
      <c r="B124" s="329" t="s">
        <v>229</v>
      </c>
    </row>
    <row r="128" spans="2:29" x14ac:dyDescent="0.3">
      <c r="B128" s="7" t="s">
        <v>144</v>
      </c>
    </row>
    <row r="129" spans="2:8" x14ac:dyDescent="0.3">
      <c r="B129" s="52">
        <v>0.61254696415752785</v>
      </c>
      <c r="C129" t="s">
        <v>145</v>
      </c>
    </row>
    <row r="130" spans="2:8" x14ac:dyDescent="0.3">
      <c r="B130" s="242">
        <f>18.016/28.966</f>
        <v>0.62197058620451551</v>
      </c>
      <c r="C130" s="290" t="s">
        <v>146</v>
      </c>
    </row>
    <row r="132" spans="2:8" x14ac:dyDescent="0.3">
      <c r="B132" s="359"/>
      <c r="C132" s="289"/>
      <c r="D132" s="289"/>
      <c r="E132" s="289"/>
      <c r="F132" s="289"/>
      <c r="G132" s="289"/>
      <c r="H132" s="319"/>
    </row>
    <row r="133" spans="2:8" ht="18" x14ac:dyDescent="0.3">
      <c r="B133" s="366" t="s">
        <v>291</v>
      </c>
      <c r="H133" s="321"/>
    </row>
    <row r="134" spans="2:8" ht="15.6" x14ac:dyDescent="0.3">
      <c r="B134" s="366"/>
      <c r="C134" s="315"/>
      <c r="D134" s="315"/>
      <c r="E134" s="315"/>
      <c r="F134" s="315"/>
      <c r="G134" s="2"/>
      <c r="H134" s="321"/>
    </row>
    <row r="135" spans="2:8" ht="15.6" x14ac:dyDescent="0.3">
      <c r="B135" s="320" t="s">
        <v>290</v>
      </c>
      <c r="C135" s="315"/>
      <c r="D135" s="315"/>
      <c r="E135" s="315"/>
      <c r="F135" s="315"/>
      <c r="G135" s="2"/>
      <c r="H135" s="321"/>
    </row>
    <row r="136" spans="2:8" ht="15.6" x14ac:dyDescent="0.3">
      <c r="B136" s="320" t="s">
        <v>242</v>
      </c>
      <c r="C136" s="315"/>
      <c r="D136" s="315"/>
      <c r="E136" s="315"/>
      <c r="F136" s="315"/>
      <c r="G136" s="2"/>
      <c r="H136" s="321"/>
    </row>
    <row r="137" spans="2:8" ht="15.6" x14ac:dyDescent="0.3">
      <c r="B137" s="320" t="s">
        <v>236</v>
      </c>
      <c r="C137" s="315"/>
      <c r="D137" s="315"/>
      <c r="E137" s="315"/>
      <c r="F137" s="315"/>
      <c r="G137" s="2"/>
      <c r="H137" s="321"/>
    </row>
    <row r="138" spans="2:8" ht="18" x14ac:dyDescent="0.3">
      <c r="B138" s="320" t="s">
        <v>248</v>
      </c>
      <c r="C138" s="315"/>
      <c r="D138" s="315"/>
      <c r="E138" s="315"/>
      <c r="F138" s="315"/>
      <c r="G138" s="2"/>
      <c r="H138" s="321"/>
    </row>
    <row r="139" spans="2:8" ht="15.6" x14ac:dyDescent="0.3">
      <c r="B139" s="320"/>
      <c r="C139" s="315"/>
      <c r="D139" s="315"/>
      <c r="E139" s="315"/>
      <c r="F139" s="315"/>
      <c r="G139" s="2"/>
      <c r="H139" s="321"/>
    </row>
    <row r="140" spans="2:8" ht="15.6" x14ac:dyDescent="0.3">
      <c r="B140" s="353" t="s">
        <v>237</v>
      </c>
      <c r="C140" s="354">
        <f>-530.66*((G28/100)^3)+652.06*((G28/100)^2)-366.33*(G28/100)+99.458</f>
        <v>22.402366437009078</v>
      </c>
      <c r="D140" s="361" t="s">
        <v>202</v>
      </c>
      <c r="E140" s="355">
        <f>C27-C140-((C27-G81)/2)</f>
        <v>27.847630571613589</v>
      </c>
      <c r="F140" s="350" t="str">
        <f>IF(E140&gt;25,"Very Sticky !!!","")</f>
        <v>Very Sticky !!!</v>
      </c>
      <c r="G140" s="2"/>
      <c r="H140" s="321"/>
    </row>
    <row r="141" spans="2:8" ht="15.6" x14ac:dyDescent="0.3">
      <c r="B141" s="353" t="s">
        <v>238</v>
      </c>
      <c r="C141" s="354">
        <f>-530.66*((G44/100)^3)+652.06*((G44/100)^2)-366.33*(G44/100)+99.458</f>
        <v>55.970244586715324</v>
      </c>
      <c r="D141" s="361" t="s">
        <v>202</v>
      </c>
      <c r="E141" s="355">
        <f>J9-C141</f>
        <v>-27.970244586715324</v>
      </c>
      <c r="F141" s="350" t="str">
        <f>IF(E141&gt;25,"Very Sticky !!!","")</f>
        <v/>
      </c>
      <c r="G141" s="2"/>
      <c r="H141" s="321"/>
    </row>
    <row r="142" spans="2:8" ht="15.6" x14ac:dyDescent="0.3">
      <c r="B142" s="349"/>
      <c r="C142" s="362"/>
      <c r="D142" s="363"/>
      <c r="E142" s="363"/>
      <c r="F142" s="350"/>
      <c r="G142" s="2"/>
      <c r="H142" s="321"/>
    </row>
    <row r="143" spans="2:8" ht="15.6" x14ac:dyDescent="0.3">
      <c r="B143" s="351"/>
      <c r="C143" s="364" t="s">
        <v>247</v>
      </c>
      <c r="D143" s="362" t="s">
        <v>249</v>
      </c>
      <c r="E143" s="315"/>
      <c r="F143" s="315"/>
      <c r="G143" s="2"/>
      <c r="H143" s="321"/>
    </row>
    <row r="144" spans="2:8" ht="15.6" x14ac:dyDescent="0.3">
      <c r="B144" s="351"/>
      <c r="C144" s="365" t="s">
        <v>250</v>
      </c>
      <c r="D144" s="362" t="s">
        <v>253</v>
      </c>
      <c r="E144" s="315"/>
      <c r="F144" s="315"/>
      <c r="G144" s="2"/>
      <c r="H144" s="321"/>
    </row>
    <row r="145" spans="2:9" ht="15.6" x14ac:dyDescent="0.3">
      <c r="B145" s="351"/>
      <c r="C145" s="365" t="s">
        <v>251</v>
      </c>
      <c r="D145" s="362" t="s">
        <v>254</v>
      </c>
      <c r="E145" s="315"/>
      <c r="F145" s="315"/>
      <c r="G145" s="2"/>
      <c r="H145" s="347"/>
      <c r="I145" s="316"/>
    </row>
    <row r="146" spans="2:9" ht="15.6" x14ac:dyDescent="0.3">
      <c r="B146" s="351"/>
      <c r="C146" s="365" t="s">
        <v>240</v>
      </c>
      <c r="D146" s="362" t="s">
        <v>252</v>
      </c>
      <c r="E146" s="315"/>
      <c r="F146" s="315"/>
      <c r="G146" s="2"/>
      <c r="H146" s="347"/>
      <c r="I146" s="316"/>
    </row>
    <row r="147" spans="2:9" ht="15.6" x14ac:dyDescent="0.3">
      <c r="B147" s="351"/>
      <c r="C147" s="365" t="s">
        <v>255</v>
      </c>
      <c r="D147" s="362" t="s">
        <v>256</v>
      </c>
      <c r="E147" s="315"/>
      <c r="F147" s="315"/>
      <c r="G147" s="2"/>
      <c r="H147" s="347"/>
      <c r="I147" s="316"/>
    </row>
    <row r="148" spans="2:9" ht="15.6" x14ac:dyDescent="0.3">
      <c r="B148" s="348"/>
      <c r="C148" s="315"/>
      <c r="D148" s="315"/>
      <c r="E148" s="315"/>
      <c r="F148" s="315"/>
      <c r="G148" s="2"/>
      <c r="H148" s="347"/>
      <c r="I148" s="316"/>
    </row>
    <row r="149" spans="2:9" ht="15.6" x14ac:dyDescent="0.3">
      <c r="B149" s="346" t="s">
        <v>243</v>
      </c>
      <c r="C149" s="315"/>
      <c r="D149" s="315"/>
      <c r="E149" s="367"/>
      <c r="F149" s="315"/>
      <c r="G149" s="2"/>
      <c r="H149" s="321"/>
      <c r="I149" s="316"/>
    </row>
    <row r="150" spans="2:9" ht="15.6" x14ac:dyDescent="0.3">
      <c r="B150" s="346" t="s">
        <v>204</v>
      </c>
      <c r="C150" s="315"/>
      <c r="D150" s="315"/>
      <c r="E150" s="315"/>
      <c r="F150" s="315"/>
      <c r="G150" s="2"/>
      <c r="H150" s="321"/>
    </row>
    <row r="151" spans="2:9" ht="15.6" x14ac:dyDescent="0.3">
      <c r="B151" s="346" t="s">
        <v>257</v>
      </c>
      <c r="C151" s="315"/>
      <c r="D151" s="315"/>
      <c r="E151" s="315"/>
      <c r="F151" s="315"/>
      <c r="G151" s="2"/>
      <c r="H151" s="321"/>
    </row>
    <row r="152" spans="2:9" ht="15.6" x14ac:dyDescent="0.3">
      <c r="B152" s="346" t="s">
        <v>241</v>
      </c>
      <c r="C152" s="315"/>
      <c r="D152" s="315"/>
      <c r="E152" s="315"/>
      <c r="F152" s="315"/>
      <c r="G152" s="2"/>
      <c r="H152" s="321"/>
    </row>
    <row r="153" spans="2:9" ht="15.6" x14ac:dyDescent="0.3">
      <c r="B153" s="346" t="s">
        <v>288</v>
      </c>
      <c r="C153" s="315"/>
      <c r="D153" s="315"/>
      <c r="E153" s="315"/>
      <c r="F153" s="315"/>
      <c r="G153" s="2"/>
      <c r="H153" s="321"/>
    </row>
    <row r="154" spans="2:9" ht="15.6" x14ac:dyDescent="0.3">
      <c r="B154" s="346"/>
      <c r="C154" s="315"/>
      <c r="D154" s="315"/>
      <c r="E154" s="315"/>
      <c r="F154" s="315"/>
      <c r="G154" s="2"/>
      <c r="H154" s="321"/>
    </row>
    <row r="155" spans="2:9" ht="15.6" x14ac:dyDescent="0.3">
      <c r="B155" s="346" t="s">
        <v>206</v>
      </c>
      <c r="C155" s="315"/>
      <c r="D155" s="356">
        <f>C27-((C27-G81)/2)</f>
        <v>50.249997008622671</v>
      </c>
      <c r="E155" s="362"/>
      <c r="F155" s="315"/>
      <c r="G155" s="2"/>
      <c r="H155" s="321"/>
    </row>
    <row r="156" spans="2:9" ht="15.6" x14ac:dyDescent="0.3">
      <c r="B156" s="346" t="s">
        <v>213</v>
      </c>
      <c r="C156" s="315"/>
      <c r="D156" s="356">
        <f>J9</f>
        <v>28</v>
      </c>
      <c r="E156" s="315"/>
      <c r="F156" s="315"/>
      <c r="G156" s="2"/>
      <c r="H156" s="321"/>
    </row>
    <row r="157" spans="2:9" x14ac:dyDescent="0.3">
      <c r="B157" s="357"/>
      <c r="C157" s="368"/>
      <c r="D157" s="358"/>
      <c r="E157" s="358"/>
      <c r="F157" s="358"/>
      <c r="G157" s="358"/>
      <c r="H157" s="322"/>
    </row>
    <row r="158" spans="2:9" ht="15.6" x14ac:dyDescent="0.3">
      <c r="B158" s="350"/>
    </row>
  </sheetData>
  <conditionalFormatting sqref="E140:E141">
    <cfRule type="cellIs" dxfId="10" priority="1" operator="greaterThan">
      <formula>10</formula>
    </cfRule>
    <cfRule type="cellIs" dxfId="9" priority="2" operator="lessThan">
      <formula>10</formula>
    </cfRule>
    <cfRule type="cellIs" dxfId="8" priority="3" operator="greaterThan">
      <formula>25</formula>
    </cfRule>
  </conditionalFormatting>
  <conditionalFormatting sqref="F140">
    <cfRule type="cellIs" dxfId="7" priority="6" operator="greaterThan">
      <formula>$E$140&gt;25</formula>
    </cfRule>
  </conditionalFormatting>
  <printOptions horizontalCentered="1"/>
  <pageMargins left="0.25" right="0.25" top="0.75" bottom="0.75" header="0.3" footer="0.3"/>
  <pageSetup paperSize="9" scale="50" orientation="landscape" r:id="rId1"/>
  <headerFooter>
    <oddFooter>Page &amp;P de &amp;N</oddFooter>
  </headerFooter>
  <rowBreaks count="2" manualBreakCount="2">
    <brk id="57" max="16383" man="1"/>
    <brk id="9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5741-EFEA-4316-A689-352F8E8645C0}">
  <sheetPr codeName="Feuil3">
    <tabColor rgb="FFFF0000"/>
    <pageSetUpPr fitToPage="1"/>
  </sheetPr>
  <dimension ref="B127:L131"/>
  <sheetViews>
    <sheetView showGridLines="0" topLeftCell="A64" zoomScale="80" zoomScaleNormal="80" workbookViewId="0">
      <selection activeCell="E131" sqref="E131"/>
    </sheetView>
  </sheetViews>
  <sheetFormatPr baseColWidth="10" defaultRowHeight="14.4" x14ac:dyDescent="0.3"/>
  <cols>
    <col min="21" max="21" width="2" customWidth="1"/>
  </cols>
  <sheetData>
    <row r="127" spans="2:12" ht="18" x14ac:dyDescent="0.35">
      <c r="B127" s="433" t="s">
        <v>143</v>
      </c>
      <c r="C127" s="291" t="s">
        <v>150</v>
      </c>
      <c r="D127" s="292" t="s">
        <v>0</v>
      </c>
      <c r="E127" s="293"/>
      <c r="F127" s="293"/>
      <c r="G127" s="293"/>
      <c r="H127" s="293"/>
      <c r="I127" s="293"/>
      <c r="J127" s="293"/>
      <c r="K127" s="294" t="s">
        <v>150</v>
      </c>
      <c r="L127" s="295" t="s">
        <v>282</v>
      </c>
    </row>
    <row r="128" spans="2:12" ht="18" x14ac:dyDescent="0.35">
      <c r="B128" s="433" t="s">
        <v>298</v>
      </c>
      <c r="C128" s="291" t="s">
        <v>122</v>
      </c>
      <c r="D128" s="292" t="s">
        <v>123</v>
      </c>
      <c r="E128" s="293"/>
      <c r="F128" s="293"/>
      <c r="G128" s="293"/>
      <c r="H128" s="293"/>
      <c r="I128" s="295" t="s">
        <v>57</v>
      </c>
      <c r="J128" s="293"/>
      <c r="K128" s="294" t="s">
        <v>122</v>
      </c>
      <c r="L128" s="295" t="s">
        <v>283</v>
      </c>
    </row>
    <row r="129" spans="3:12" ht="15.6" x14ac:dyDescent="0.3">
      <c r="C129" s="291" t="s">
        <v>118</v>
      </c>
      <c r="D129" s="292" t="s">
        <v>120</v>
      </c>
      <c r="E129" s="293"/>
      <c r="F129" s="293"/>
      <c r="G129" s="293"/>
      <c r="H129" s="293"/>
      <c r="I129" s="293"/>
      <c r="J129" s="293"/>
      <c r="K129" s="296" t="s">
        <v>118</v>
      </c>
      <c r="L129" s="297" t="s">
        <v>149</v>
      </c>
    </row>
    <row r="130" spans="3:12" ht="15.6" x14ac:dyDescent="0.3">
      <c r="C130" s="291" t="s">
        <v>119</v>
      </c>
      <c r="D130" s="292" t="s">
        <v>121</v>
      </c>
      <c r="E130" s="293"/>
      <c r="F130" s="293"/>
      <c r="G130" s="293"/>
      <c r="H130" s="293"/>
      <c r="I130" s="293"/>
      <c r="J130" s="293"/>
      <c r="K130" s="296" t="s">
        <v>119</v>
      </c>
      <c r="L130" s="421">
        <v>40</v>
      </c>
    </row>
    <row r="131" spans="3:12" ht="15.6" x14ac:dyDescent="0.3">
      <c r="C131" s="291" t="s">
        <v>124</v>
      </c>
      <c r="D131" s="298">
        <v>0.5</v>
      </c>
      <c r="E131" s="293"/>
      <c r="F131" s="293"/>
      <c r="G131" s="293"/>
      <c r="H131" s="293"/>
      <c r="I131" s="293"/>
      <c r="J131" s="293"/>
      <c r="K131" s="296" t="s">
        <v>124</v>
      </c>
      <c r="L131" s="299">
        <v>0.41</v>
      </c>
    </row>
  </sheetData>
  <printOptions horizontalCentered="1"/>
  <pageMargins left="0.23622047244094491" right="0.23622047244094491" top="0.74803149606299213" bottom="0.74803149606299213" header="0.31496062992125984" footer="0.31496062992125984"/>
  <pageSetup paperSize="9" scale="3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32FCA-C4F7-4D42-8501-9B81CB4EF53F}">
  <sheetPr codeName="Feuil4">
    <tabColor rgb="FF00B050"/>
  </sheetPr>
  <dimension ref="B1:AF157"/>
  <sheetViews>
    <sheetView showGridLines="0" zoomScale="80" zoomScaleNormal="80" workbookViewId="0">
      <selection activeCell="B16" sqref="B16"/>
    </sheetView>
  </sheetViews>
  <sheetFormatPr baseColWidth="10" defaultRowHeight="14.4" x14ac:dyDescent="0.3"/>
  <cols>
    <col min="1" max="1" width="2.77734375" customWidth="1"/>
    <col min="2" max="2" width="44" customWidth="1"/>
    <col min="3" max="3" width="24.33203125" customWidth="1"/>
    <col min="4" max="6" width="17.21875" customWidth="1"/>
    <col min="7" max="7" width="18.5546875" customWidth="1"/>
    <col min="8" max="12" width="17.21875" customWidth="1"/>
    <col min="13" max="13" width="5" customWidth="1"/>
    <col min="14" max="14" width="31.77734375" customWidth="1"/>
    <col min="15" max="15" width="9.44140625" customWidth="1"/>
    <col min="20" max="20" width="29.21875" bestFit="1" customWidth="1"/>
    <col min="25" max="27" width="18.88671875" customWidth="1"/>
  </cols>
  <sheetData>
    <row r="1" spans="2:26" ht="28.2" x14ac:dyDescent="0.5">
      <c r="B1" s="330" t="s">
        <v>231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2:26" ht="23.4" customHeight="1" x14ac:dyDescent="0.4">
      <c r="B2" s="282" t="s">
        <v>147</v>
      </c>
      <c r="C2" s="2"/>
      <c r="D2" s="2"/>
      <c r="E2" s="2"/>
      <c r="F2" s="2"/>
      <c r="G2" s="2"/>
      <c r="H2" s="2"/>
      <c r="I2" s="2"/>
      <c r="J2" s="2"/>
      <c r="K2" s="2"/>
      <c r="L2" s="264"/>
      <c r="T2" s="184" t="s">
        <v>127</v>
      </c>
    </row>
    <row r="3" spans="2:26" ht="15" customHeight="1" x14ac:dyDescent="0.3">
      <c r="B3" s="53" t="s">
        <v>34</v>
      </c>
      <c r="C3" s="54" t="s">
        <v>141</v>
      </c>
      <c r="D3" s="55"/>
      <c r="E3" s="55"/>
      <c r="F3" s="55"/>
      <c r="G3" s="226" t="s">
        <v>140</v>
      </c>
      <c r="H3" s="224">
        <v>6928.2545337985357</v>
      </c>
      <c r="I3" s="225" t="s">
        <v>35</v>
      </c>
      <c r="J3" s="57">
        <f>H3/E5</f>
        <v>5329.426564460412</v>
      </c>
      <c r="K3" s="56" t="s">
        <v>36</v>
      </c>
      <c r="L3" s="58"/>
      <c r="N3" s="228" t="s">
        <v>94</v>
      </c>
    </row>
    <row r="4" spans="2:26" ht="15" customHeight="1" x14ac:dyDescent="0.3">
      <c r="B4" s="249" t="s">
        <v>115</v>
      </c>
      <c r="C4" s="63">
        <f>O5</f>
        <v>58</v>
      </c>
      <c r="D4" s="59"/>
      <c r="E4" s="59"/>
      <c r="F4" s="59"/>
      <c r="G4" s="227" t="s">
        <v>115</v>
      </c>
      <c r="H4" s="61">
        <f>H3*C4%</f>
        <v>4018.3876296031503</v>
      </c>
      <c r="I4" s="50" t="s">
        <v>35</v>
      </c>
      <c r="J4" s="61"/>
      <c r="K4" s="50"/>
      <c r="L4" s="241"/>
      <c r="N4" s="228"/>
      <c r="T4" s="185" t="s">
        <v>62</v>
      </c>
      <c r="U4" s="268">
        <f>D155</f>
        <v>60.611412483292668</v>
      </c>
      <c r="Y4" t="s">
        <v>63</v>
      </c>
    </row>
    <row r="5" spans="2:26" ht="15" customHeight="1" x14ac:dyDescent="0.3">
      <c r="B5" s="49" t="s">
        <v>259</v>
      </c>
      <c r="C5" s="63">
        <f>$O$5+(($O$5*$O$6%)*$O$7%)*$O$9%</f>
        <v>59.637827199999997</v>
      </c>
      <c r="D5" s="227" t="s">
        <v>104</v>
      </c>
      <c r="E5" s="272">
        <v>1.3</v>
      </c>
      <c r="F5" s="59"/>
      <c r="G5" s="227" t="s">
        <v>259</v>
      </c>
      <c r="H5" s="60">
        <f>H3*C5%</f>
        <v>4131.8604668429361</v>
      </c>
      <c r="I5" s="50" t="s">
        <v>35</v>
      </c>
      <c r="J5" s="61"/>
      <c r="K5" s="50"/>
      <c r="L5" s="62"/>
      <c r="N5" s="234" t="s">
        <v>92</v>
      </c>
      <c r="O5" s="229">
        <v>58</v>
      </c>
    </row>
    <row r="6" spans="2:26" ht="15" customHeight="1" x14ac:dyDescent="0.3">
      <c r="B6" s="49" t="s">
        <v>102</v>
      </c>
      <c r="C6" s="63">
        <f>100-C7</f>
        <v>95</v>
      </c>
      <c r="D6" s="50"/>
      <c r="E6" s="50"/>
      <c r="F6" s="59"/>
      <c r="G6" s="227" t="s">
        <v>105</v>
      </c>
      <c r="H6" s="60">
        <f>H5/C6%</f>
        <v>4349.3268072030905</v>
      </c>
      <c r="I6" s="50" t="s">
        <v>35</v>
      </c>
      <c r="J6" s="61"/>
      <c r="K6" s="50"/>
      <c r="L6" s="265" t="s">
        <v>126</v>
      </c>
      <c r="N6" s="234" t="s">
        <v>93</v>
      </c>
      <c r="O6" s="229">
        <v>74</v>
      </c>
      <c r="T6" s="185" t="s">
        <v>64</v>
      </c>
      <c r="U6" s="186">
        <v>12.5</v>
      </c>
      <c r="Y6" s="185" t="s">
        <v>65</v>
      </c>
      <c r="Z6" s="187">
        <f>2008.2+(1208.9/1000*U4)-(1312.9/1000000*U4*U4)</f>
        <v>2076.649878941997</v>
      </c>
    </row>
    <row r="7" spans="2:26" ht="15" customHeight="1" x14ac:dyDescent="0.3">
      <c r="B7" s="49" t="s">
        <v>103</v>
      </c>
      <c r="C7" s="238">
        <v>5</v>
      </c>
      <c r="D7" s="50" t="s">
        <v>142</v>
      </c>
      <c r="E7" s="50"/>
      <c r="F7" s="246"/>
      <c r="G7" s="247" t="s">
        <v>106</v>
      </c>
      <c r="H7" s="244">
        <f>H3-H6</f>
        <v>2578.9277265954452</v>
      </c>
      <c r="I7" s="248" t="s">
        <v>35</v>
      </c>
      <c r="J7" s="61"/>
      <c r="K7" s="50"/>
      <c r="L7" s="266">
        <v>45536</v>
      </c>
      <c r="N7" s="234" t="s">
        <v>100</v>
      </c>
      <c r="O7" s="229">
        <v>72</v>
      </c>
      <c r="T7" s="185" t="s">
        <v>66</v>
      </c>
      <c r="U7" s="186">
        <v>1</v>
      </c>
      <c r="Y7" s="185" t="s">
        <v>67</v>
      </c>
      <c r="Z7" s="187">
        <f>1984.2+(1473.3/1000*U4)-(4800.8/1000000*U4*U4)</f>
        <v>2055.8618870655214</v>
      </c>
    </row>
    <row r="8" spans="2:26" ht="15" customHeight="1" x14ac:dyDescent="0.3">
      <c r="B8" s="49" t="s">
        <v>114</v>
      </c>
      <c r="C8" s="63">
        <f>$O$5+(($O$5*$O$6%)*$O$8%)*$O$9%</f>
        <v>59.637827199999997</v>
      </c>
      <c r="D8" s="50"/>
      <c r="E8" s="50"/>
      <c r="F8" s="59"/>
      <c r="G8" s="227" t="s">
        <v>114</v>
      </c>
      <c r="H8" s="60">
        <f>H3*C8%</f>
        <v>4131.8604668429361</v>
      </c>
      <c r="I8" s="50" t="s">
        <v>35</v>
      </c>
      <c r="J8" s="61"/>
      <c r="K8" s="50"/>
      <c r="L8" s="62"/>
      <c r="N8" s="234" t="s">
        <v>101</v>
      </c>
      <c r="O8" s="229">
        <v>72</v>
      </c>
      <c r="T8" s="185" t="s">
        <v>68</v>
      </c>
      <c r="U8" s="186">
        <v>74</v>
      </c>
      <c r="Y8" s="185" t="s">
        <v>69</v>
      </c>
      <c r="Z8" s="187">
        <f>1548.8+(1962.5/1000*U4)-(5939.9/1000000*U4*U4)</f>
        <v>1645.9282290328681</v>
      </c>
    </row>
    <row r="9" spans="2:26" ht="15" customHeight="1" x14ac:dyDescent="0.3">
      <c r="B9" s="49" t="s">
        <v>260</v>
      </c>
      <c r="C9" s="63">
        <f>100-C10</f>
        <v>98.1</v>
      </c>
      <c r="D9" s="59"/>
      <c r="E9" s="59"/>
      <c r="F9" s="59"/>
      <c r="G9" s="275" t="s">
        <v>108</v>
      </c>
      <c r="H9" s="276">
        <f>H8/C9%</f>
        <v>4211.8863066696595</v>
      </c>
      <c r="I9" s="277" t="s">
        <v>111</v>
      </c>
      <c r="J9" s="240">
        <v>27</v>
      </c>
      <c r="K9" s="50"/>
      <c r="L9" s="62"/>
      <c r="N9" s="234" t="s">
        <v>95</v>
      </c>
      <c r="O9" s="229">
        <v>5.3</v>
      </c>
      <c r="T9" s="185" t="s">
        <v>70</v>
      </c>
      <c r="U9" s="186">
        <v>0</v>
      </c>
      <c r="Y9" s="185" t="s">
        <v>71</v>
      </c>
      <c r="Z9" s="187">
        <f>1845.9+(1930.6/1000*U4)-(4650.9/1000000*U4*U4)</f>
        <v>1945.8301801182815</v>
      </c>
    </row>
    <row r="10" spans="2:26" ht="15" customHeight="1" x14ac:dyDescent="0.3">
      <c r="B10" s="64" t="s">
        <v>84</v>
      </c>
      <c r="C10" s="65">
        <v>1.9</v>
      </c>
      <c r="D10" s="280" t="s">
        <v>139</v>
      </c>
      <c r="E10" s="59"/>
      <c r="F10" s="66"/>
      <c r="G10" s="243" t="s">
        <v>109</v>
      </c>
      <c r="H10" s="244">
        <f>H6-H9</f>
        <v>137.44050053343108</v>
      </c>
      <c r="I10" s="245" t="s">
        <v>107</v>
      </c>
      <c r="J10" s="239"/>
      <c r="K10" s="67" t="s">
        <v>37</v>
      </c>
      <c r="L10" s="68">
        <v>101325</v>
      </c>
      <c r="N10" s="235" t="s">
        <v>99</v>
      </c>
      <c r="T10" s="185" t="s">
        <v>72</v>
      </c>
      <c r="U10" s="186">
        <v>7.5</v>
      </c>
      <c r="Y10" s="185" t="s">
        <v>73</v>
      </c>
      <c r="Z10" s="187">
        <f>1092.6+(1889.6/1000*U4)-(3681.7/1000000*U4*U4)</f>
        <v>1193.6057042353311</v>
      </c>
    </row>
    <row r="11" spans="2:26" x14ac:dyDescent="0.3">
      <c r="B11" s="69"/>
      <c r="C11" s="69"/>
      <c r="D11" s="70"/>
      <c r="E11" s="71"/>
      <c r="F11" s="69"/>
      <c r="G11" s="70"/>
      <c r="H11" s="71"/>
      <c r="I11" s="70"/>
      <c r="J11" s="72"/>
      <c r="K11" s="72"/>
      <c r="L11" s="71"/>
      <c r="N11" s="234" t="s">
        <v>96</v>
      </c>
      <c r="O11" s="236">
        <f>H3-H9</f>
        <v>2716.3682271288762</v>
      </c>
      <c r="T11" s="185" t="s">
        <v>74</v>
      </c>
      <c r="U11" s="186">
        <v>1.5</v>
      </c>
      <c r="Y11" s="185" t="s">
        <v>75</v>
      </c>
      <c r="Z11" s="187">
        <f>4176.2-(9.0864/100000*U4)+(5473.1/1000000*U4*U4)</f>
        <v>4196.3012571869303</v>
      </c>
    </row>
    <row r="12" spans="2:26" ht="15.6" x14ac:dyDescent="0.3">
      <c r="B12" s="73" t="s">
        <v>1</v>
      </c>
      <c r="C12" s="74" t="s">
        <v>2</v>
      </c>
      <c r="D12" s="75" t="s">
        <v>3</v>
      </c>
      <c r="E12" s="76"/>
      <c r="F12" s="74" t="s">
        <v>4</v>
      </c>
      <c r="G12" s="77" t="s">
        <v>5</v>
      </c>
      <c r="H12" s="78"/>
      <c r="I12" s="77" t="s">
        <v>6</v>
      </c>
      <c r="J12" s="79"/>
      <c r="K12" s="79"/>
      <c r="L12" s="78"/>
      <c r="N12" s="234" t="s">
        <v>97</v>
      </c>
      <c r="O12" s="236">
        <f>H24+H40</f>
        <v>2716.3682271288762</v>
      </c>
      <c r="P12" s="1" t="b">
        <f>O11=O12</f>
        <v>1</v>
      </c>
    </row>
    <row r="13" spans="2:26" x14ac:dyDescent="0.3">
      <c r="B13" s="80"/>
      <c r="C13" s="74"/>
      <c r="D13" s="75"/>
      <c r="E13" s="76"/>
      <c r="F13" s="80"/>
      <c r="G13" s="81" t="s">
        <v>7</v>
      </c>
      <c r="H13" s="76"/>
      <c r="I13" s="75"/>
      <c r="J13" s="82"/>
      <c r="K13" s="82"/>
      <c r="L13" s="76"/>
      <c r="N13" s="234" t="s">
        <v>98</v>
      </c>
      <c r="O13" s="236">
        <f>H3-H6</f>
        <v>2578.9277265954452</v>
      </c>
      <c r="Y13" s="188" t="s">
        <v>76</v>
      </c>
      <c r="Z13" s="189"/>
    </row>
    <row r="14" spans="2:26" x14ac:dyDescent="0.3">
      <c r="B14" s="83"/>
      <c r="C14" s="84"/>
      <c r="D14" s="75" t="s">
        <v>8</v>
      </c>
      <c r="E14" s="76" t="s">
        <v>9</v>
      </c>
      <c r="F14" s="74" t="s">
        <v>10</v>
      </c>
      <c r="G14" s="75" t="s">
        <v>11</v>
      </c>
      <c r="H14" s="76" t="s">
        <v>9</v>
      </c>
      <c r="I14" s="75" t="s">
        <v>12</v>
      </c>
      <c r="J14" s="82" t="s">
        <v>13</v>
      </c>
      <c r="K14" s="82" t="s">
        <v>14</v>
      </c>
      <c r="L14" s="76" t="s">
        <v>15</v>
      </c>
      <c r="Y14" s="190" t="s">
        <v>77</v>
      </c>
      <c r="Z14" s="191"/>
    </row>
    <row r="15" spans="2:26" x14ac:dyDescent="0.3">
      <c r="B15" s="83"/>
      <c r="C15" s="85"/>
      <c r="D15" s="86" t="s">
        <v>38</v>
      </c>
      <c r="E15" s="87" t="s">
        <v>16</v>
      </c>
      <c r="F15" s="85"/>
      <c r="G15" s="88"/>
      <c r="H15" s="87" t="s">
        <v>17</v>
      </c>
      <c r="I15" s="88"/>
      <c r="J15" s="89"/>
      <c r="K15" s="89"/>
      <c r="L15" s="90"/>
      <c r="N15" s="242"/>
      <c r="T15" s="192" t="s">
        <v>78</v>
      </c>
      <c r="U15" s="193">
        <f>Z6*U6/100 +Z7*U7/100+Z8*U8/100+Z9*U9/100+Z10*U10/100+Z11*U11/100</f>
        <v>1650.5916898981811</v>
      </c>
      <c r="V15" s="192" t="s">
        <v>79</v>
      </c>
    </row>
    <row r="16" spans="2:26" x14ac:dyDescent="0.3">
      <c r="B16" s="369"/>
      <c r="C16" s="85"/>
      <c r="D16" s="405"/>
      <c r="E16" s="370"/>
      <c r="F16" s="85"/>
      <c r="G16" s="89"/>
      <c r="H16" s="87"/>
      <c r="I16" s="88"/>
      <c r="J16" s="89"/>
      <c r="K16" s="89"/>
      <c r="L16" s="90"/>
      <c r="T16" s="192" t="s">
        <v>78</v>
      </c>
      <c r="U16" s="193">
        <f>U15/4.1855</f>
        <v>394.35950063270366</v>
      </c>
      <c r="V16" s="192" t="s">
        <v>80</v>
      </c>
    </row>
    <row r="17" spans="2:26" ht="22.2" customHeight="1" x14ac:dyDescent="0.3">
      <c r="B17" s="391" t="s">
        <v>268</v>
      </c>
      <c r="C17" s="392"/>
      <c r="D17" s="390"/>
      <c r="E17" s="389"/>
      <c r="F17" s="392"/>
      <c r="G17" s="390"/>
      <c r="H17" s="394"/>
      <c r="I17" s="395"/>
      <c r="J17" s="390"/>
      <c r="K17" s="390"/>
      <c r="L17" s="390"/>
      <c r="N17" s="408" t="s">
        <v>264</v>
      </c>
    </row>
    <row r="18" spans="2:26" x14ac:dyDescent="0.3">
      <c r="B18" s="69"/>
      <c r="C18" s="69"/>
      <c r="D18" s="70"/>
      <c r="E18" s="71"/>
      <c r="F18" s="69"/>
      <c r="G18" s="70"/>
      <c r="H18" s="71"/>
      <c r="I18" s="70"/>
      <c r="J18" s="72"/>
      <c r="K18" s="72"/>
      <c r="L18" s="71"/>
      <c r="N18" s="409" t="s">
        <v>265</v>
      </c>
    </row>
    <row r="19" spans="2:26" ht="16.2" customHeight="1" x14ac:dyDescent="0.4">
      <c r="B19" s="3" t="s">
        <v>39</v>
      </c>
      <c r="C19" s="94">
        <v>23.5</v>
      </c>
      <c r="D19" s="337">
        <f>((22.41/273)*(C19+273))*((1/29)+((1/18)*G19))</f>
        <v>0.85144766862447907</v>
      </c>
      <c r="E19" s="333">
        <v>52216</v>
      </c>
      <c r="F19" s="104">
        <f>E19/D19</f>
        <v>61326.14125816492</v>
      </c>
      <c r="G19" s="334">
        <v>8.9999999999999993E-3</v>
      </c>
      <c r="H19" s="95">
        <f>F19*G19</f>
        <v>551.93527132348424</v>
      </c>
      <c r="I19" s="96">
        <f>(((1.005+(1.88*G19))*C19)+(2487*G19))</f>
        <v>46.398119999999999</v>
      </c>
      <c r="J19" s="97">
        <f>I19/4.1855</f>
        <v>11.085442599450483</v>
      </c>
      <c r="K19" s="5">
        <f>I19*F19</f>
        <v>2845417.6612332868</v>
      </c>
      <c r="L19" s="6">
        <f>K19/4.1855</f>
        <v>679827.41876317922</v>
      </c>
      <c r="N19" s="410" t="s">
        <v>266</v>
      </c>
      <c r="T19" s="184" t="s">
        <v>128</v>
      </c>
    </row>
    <row r="20" spans="2:26" ht="16.2" customHeight="1" x14ac:dyDescent="0.3">
      <c r="B20" s="8"/>
      <c r="C20" s="9"/>
      <c r="D20" s="98">
        <f>1/D19</f>
        <v>1.1744703014050275</v>
      </c>
      <c r="E20" s="10"/>
      <c r="F20" s="9"/>
      <c r="G20" s="11"/>
      <c r="H20" s="10"/>
      <c r="I20" s="99"/>
      <c r="J20" s="100"/>
      <c r="K20" s="12"/>
      <c r="L20" s="13"/>
      <c r="N20" s="410" t="s">
        <v>267</v>
      </c>
    </row>
    <row r="21" spans="2:26" ht="16.2" customHeight="1" x14ac:dyDescent="0.3">
      <c r="B21" s="14"/>
      <c r="C21" s="15"/>
      <c r="D21" s="16"/>
      <c r="E21" s="16"/>
      <c r="F21" s="15"/>
      <c r="G21" s="16"/>
      <c r="H21" s="16"/>
      <c r="I21" s="101"/>
      <c r="J21" s="102"/>
      <c r="K21" s="17"/>
      <c r="L21" s="18"/>
      <c r="T21" s="185" t="s">
        <v>62</v>
      </c>
      <c r="U21" s="268">
        <f>'Simul 2'!J9</f>
        <v>27</v>
      </c>
      <c r="Y21" t="s">
        <v>63</v>
      </c>
    </row>
    <row r="22" spans="2:26" x14ac:dyDescent="0.3">
      <c r="B22" s="19" t="s">
        <v>58</v>
      </c>
      <c r="C22" s="103">
        <v>185</v>
      </c>
      <c r="D22" s="337">
        <f>((22.41/273)*(C22+273))*((1/29)+((1/18)*G22))</f>
        <v>1.3152210193255021</v>
      </c>
      <c r="E22" s="332">
        <f>D22*F22</f>
        <v>80657.430016863393</v>
      </c>
      <c r="F22" s="104">
        <f>F19</f>
        <v>61326.14125816492</v>
      </c>
      <c r="G22" s="11">
        <f>H22/F22</f>
        <v>8.9999999999999993E-3</v>
      </c>
      <c r="H22" s="105">
        <f>H19</f>
        <v>551.93527132348424</v>
      </c>
      <c r="I22" s="96">
        <f>(((1.005+(1.88*$G$22))*$C$22)+(2487*$G$22))</f>
        <v>211.43819999999999</v>
      </c>
      <c r="J22" s="97">
        <f>I22/4.1855</f>
        <v>50.516831919722847</v>
      </c>
      <c r="K22" s="20">
        <f>F22*I22</f>
        <v>12966688.920572126</v>
      </c>
      <c r="L22" s="6">
        <f>K22/4.1855</f>
        <v>3098002.370223898</v>
      </c>
    </row>
    <row r="23" spans="2:26" x14ac:dyDescent="0.3">
      <c r="B23" s="19"/>
      <c r="C23" s="106"/>
      <c r="D23" s="98">
        <f>1/D22</f>
        <v>0.76032848114976137</v>
      </c>
      <c r="E23" s="20"/>
      <c r="F23" s="104"/>
      <c r="G23" s="11"/>
      <c r="H23" s="105"/>
      <c r="I23" s="96"/>
      <c r="J23" s="97"/>
      <c r="K23" s="20"/>
      <c r="L23" s="6"/>
      <c r="Q23" s="2"/>
      <c r="T23" s="185" t="s">
        <v>64</v>
      </c>
      <c r="U23" s="214">
        <f t="shared" ref="U23:U28" si="0">U6</f>
        <v>12.5</v>
      </c>
      <c r="Y23" s="185" t="s">
        <v>65</v>
      </c>
      <c r="Z23" s="187">
        <f>2008.2+(1208.9/1000*U21)-(1312.9/1000000*U21*U21)</f>
        <v>2039.8831959000001</v>
      </c>
    </row>
    <row r="24" spans="2:26" x14ac:dyDescent="0.3">
      <c r="B24" s="107" t="s">
        <v>40</v>
      </c>
      <c r="C24" s="106"/>
      <c r="D24" s="108"/>
      <c r="E24" s="109"/>
      <c r="F24" s="110"/>
      <c r="G24" s="111"/>
      <c r="H24" s="195">
        <f>H3-H6</f>
        <v>2578.9277265954452</v>
      </c>
      <c r="I24" s="112"/>
      <c r="J24" s="97"/>
      <c r="K24" s="20"/>
      <c r="L24" s="6"/>
      <c r="Q24" s="2"/>
      <c r="T24" s="185" t="s">
        <v>66</v>
      </c>
      <c r="U24" s="214">
        <f t="shared" si="0"/>
        <v>1</v>
      </c>
      <c r="Y24" s="185" t="s">
        <v>67</v>
      </c>
      <c r="Z24" s="187">
        <f>1984.2+(1473.3/1000*U21)-(4800.8/1000000*U21*U21)</f>
        <v>2020.4793168000001</v>
      </c>
    </row>
    <row r="25" spans="2:26" x14ac:dyDescent="0.3">
      <c r="B25" s="21"/>
      <c r="C25" s="22"/>
      <c r="D25" s="4"/>
      <c r="E25" s="20"/>
      <c r="F25" s="23"/>
      <c r="G25" s="24"/>
      <c r="H25" s="6"/>
      <c r="I25" s="112"/>
      <c r="J25" s="97"/>
      <c r="K25" s="20"/>
      <c r="L25" s="6"/>
      <c r="N25" s="2"/>
      <c r="O25" s="2"/>
      <c r="P25" s="2"/>
      <c r="Q25" s="2"/>
      <c r="T25" s="185" t="s">
        <v>68</v>
      </c>
      <c r="U25" s="214">
        <f t="shared" si="0"/>
        <v>74</v>
      </c>
      <c r="Y25" s="185" t="s">
        <v>69</v>
      </c>
      <c r="Z25" s="187">
        <f>1548.8+(1962.5/1000*U21)-(5939.9/1000000*U21*U21)</f>
        <v>1597.4573128999998</v>
      </c>
    </row>
    <row r="26" spans="2:26" x14ac:dyDescent="0.3">
      <c r="B26" s="14"/>
      <c r="C26" s="25"/>
      <c r="D26" s="26"/>
      <c r="E26" s="27"/>
      <c r="F26" s="28"/>
      <c r="G26" s="29"/>
      <c r="H26" s="30"/>
      <c r="I26" s="101"/>
      <c r="J26" s="102"/>
      <c r="K26" s="200"/>
      <c r="L26" s="201"/>
      <c r="N26" s="327" t="s">
        <v>221</v>
      </c>
      <c r="O26" s="328"/>
      <c r="P26" s="328"/>
      <c r="Q26" s="328"/>
      <c r="R26" s="186"/>
      <c r="T26" s="185" t="s">
        <v>70</v>
      </c>
      <c r="U26" s="214">
        <f t="shared" si="0"/>
        <v>0</v>
      </c>
      <c r="Y26" s="185" t="s">
        <v>71</v>
      </c>
      <c r="Z26" s="187">
        <f>1845.9+(1930.6/1000*U21)-(4650.9/1000000*U21*U21)</f>
        <v>1894.6356939</v>
      </c>
    </row>
    <row r="27" spans="2:26" x14ac:dyDescent="0.3">
      <c r="B27" s="158" t="s">
        <v>83</v>
      </c>
      <c r="C27" s="33">
        <f>(I27-(2487*G27))/((1.005+(1.88*G27)))</f>
        <v>76.722824966585335</v>
      </c>
      <c r="D27" s="34">
        <f>((22.41/273)*(C27+273))*((1/29)+((1/18)*G27))</f>
        <v>1.0713549801794322</v>
      </c>
      <c r="E27" s="35">
        <f>D27*F27</f>
        <v>65702.066852122342</v>
      </c>
      <c r="F27" s="36">
        <f>F22</f>
        <v>61326.14125816492</v>
      </c>
      <c r="G27" s="37">
        <f>H27/F27</f>
        <v>5.1052665856456257E-2</v>
      </c>
      <c r="H27" s="35">
        <f>SUM(H22:H25)</f>
        <v>3130.8629979189295</v>
      </c>
      <c r="I27" s="113">
        <f>I22</f>
        <v>211.43819999999999</v>
      </c>
      <c r="J27" s="114">
        <f>I27/4.1855</f>
        <v>50.516831919722847</v>
      </c>
      <c r="K27" s="196">
        <f>F27*I27</f>
        <v>12966688.920572126</v>
      </c>
      <c r="L27" s="197">
        <f>K27/4.1855</f>
        <v>3098002.370223898</v>
      </c>
      <c r="N27" s="327" t="s">
        <v>226</v>
      </c>
      <c r="O27" s="186"/>
      <c r="P27" s="186"/>
      <c r="Q27" s="186"/>
      <c r="R27" s="186"/>
      <c r="T27" s="185" t="s">
        <v>72</v>
      </c>
      <c r="U27" s="214">
        <f t="shared" si="0"/>
        <v>7.5</v>
      </c>
      <c r="Y27" s="185" t="s">
        <v>73</v>
      </c>
      <c r="Z27" s="187">
        <f>1092.6+(1889.6/1000*U21)-(3681.7/1000000*U21*U21)</f>
        <v>1140.9352406999999</v>
      </c>
    </row>
    <row r="28" spans="2:26" ht="16.2" customHeight="1" x14ac:dyDescent="0.3">
      <c r="B28" s="373" t="s">
        <v>163</v>
      </c>
      <c r="C28" s="374" t="s">
        <v>223</v>
      </c>
      <c r="D28" s="382">
        <f>1/D27</f>
        <v>0.93339744389158341</v>
      </c>
      <c r="E28" s="375"/>
      <c r="F28" s="376"/>
      <c r="G28" s="300">
        <f>I85</f>
        <v>18.518014472545378</v>
      </c>
      <c r="H28" s="377"/>
      <c r="I28" s="378" t="s">
        <v>41</v>
      </c>
      <c r="J28" s="379"/>
      <c r="K28" s="380"/>
      <c r="L28" s="381"/>
      <c r="N28" s="327" t="s">
        <v>227</v>
      </c>
      <c r="O28" s="186"/>
      <c r="P28" s="186"/>
      <c r="Q28" s="328"/>
      <c r="R28" s="186"/>
      <c r="T28" s="185" t="s">
        <v>74</v>
      </c>
      <c r="U28" s="214">
        <f t="shared" si="0"/>
        <v>1.5</v>
      </c>
      <c r="Y28" s="185" t="s">
        <v>75</v>
      </c>
      <c r="Z28" s="187">
        <f>4176.2-(9.0864/100000*U21)+(5473.1/1000000*U21*U21)</f>
        <v>4180.1874365719996</v>
      </c>
    </row>
    <row r="29" spans="2:26" ht="22.2" customHeight="1" x14ac:dyDescent="0.3">
      <c r="B29" s="391" t="s">
        <v>262</v>
      </c>
      <c r="C29" s="396"/>
      <c r="D29" s="383"/>
      <c r="E29" s="384"/>
      <c r="F29" s="399"/>
      <c r="G29" s="385"/>
      <c r="H29" s="398"/>
      <c r="I29" s="406"/>
      <c r="J29" s="387"/>
      <c r="K29" s="388"/>
      <c r="L29" s="388"/>
      <c r="N29" s="327" t="s">
        <v>228</v>
      </c>
      <c r="O29" s="186"/>
      <c r="P29" s="186"/>
      <c r="Q29" s="186"/>
      <c r="R29" s="186"/>
    </row>
    <row r="30" spans="2:26" ht="16.2" customHeight="1" x14ac:dyDescent="0.3">
      <c r="B30" s="91"/>
      <c r="C30" s="69"/>
      <c r="D30" s="72"/>
      <c r="E30" s="92"/>
      <c r="F30" s="69"/>
      <c r="G30" s="72"/>
      <c r="H30" s="93"/>
      <c r="I30" s="70"/>
      <c r="J30" s="72"/>
      <c r="K30" s="202"/>
      <c r="L30" s="203"/>
      <c r="Y30" s="188" t="s">
        <v>76</v>
      </c>
      <c r="Z30" s="189"/>
    </row>
    <row r="31" spans="2:26" ht="16.2" customHeight="1" x14ac:dyDescent="0.3">
      <c r="B31" s="183" t="s">
        <v>82</v>
      </c>
      <c r="C31" s="33">
        <f>C54</f>
        <v>46.921966727025328</v>
      </c>
      <c r="D31" s="34">
        <f t="shared" ref="D31:L31" si="1">D54</f>
        <v>0.91863294598866285</v>
      </c>
      <c r="E31" s="35">
        <f t="shared" si="1"/>
        <v>45931.647299433142</v>
      </c>
      <c r="F31" s="36">
        <f t="shared" si="1"/>
        <v>50000</v>
      </c>
      <c r="G31" s="37">
        <f t="shared" si="1"/>
        <v>8.948810010668622E-3</v>
      </c>
      <c r="H31" s="35">
        <f t="shared" si="1"/>
        <v>447.44050053343108</v>
      </c>
      <c r="I31" s="38">
        <f t="shared" si="1"/>
        <v>70.201671096459393</v>
      </c>
      <c r="J31" s="114">
        <f t="shared" si="1"/>
        <v>16.772588961046324</v>
      </c>
      <c r="K31" s="196">
        <f t="shared" si="1"/>
        <v>3510083.5548229697</v>
      </c>
      <c r="L31" s="197">
        <f t="shared" si="1"/>
        <v>838629.44805231621</v>
      </c>
      <c r="N31" s="2"/>
      <c r="O31" s="2"/>
      <c r="P31" s="2"/>
      <c r="Q31" s="2"/>
      <c r="Y31" s="190" t="s">
        <v>77</v>
      </c>
      <c r="Z31" s="191"/>
    </row>
    <row r="32" spans="2:26" ht="16.2" customHeight="1" x14ac:dyDescent="0.3">
      <c r="B32" s="154"/>
      <c r="C32" s="155"/>
      <c r="D32" s="156">
        <f>1/D31</f>
        <v>1.0885740647193611</v>
      </c>
      <c r="E32" s="157"/>
      <c r="F32" s="155"/>
      <c r="G32" s="300">
        <f>G55</f>
        <v>13.615873397366949</v>
      </c>
      <c r="H32" s="157"/>
      <c r="I32" s="99"/>
      <c r="J32" s="100"/>
      <c r="K32" s="12"/>
      <c r="L32" s="13"/>
      <c r="N32" s="2"/>
      <c r="O32" s="2"/>
      <c r="P32" s="2"/>
      <c r="Q32" s="2"/>
      <c r="T32" s="192" t="s">
        <v>78</v>
      </c>
      <c r="U32" s="193">
        <f>Z23*U23/100 +Z24*U24/100+Z25*U25/100+Z26*U26/100+Z27*U27/100+Z28*U28/100</f>
        <v>1605.5815588025798</v>
      </c>
      <c r="V32" s="192" t="s">
        <v>79</v>
      </c>
    </row>
    <row r="33" spans="2:25" ht="16.2" customHeight="1" x14ac:dyDescent="0.3">
      <c r="B33" s="14"/>
      <c r="C33" s="25"/>
      <c r="D33" s="26"/>
      <c r="E33" s="27"/>
      <c r="F33" s="28"/>
      <c r="G33" s="29"/>
      <c r="H33" s="30"/>
      <c r="I33" s="31"/>
      <c r="J33" s="32"/>
      <c r="K33" s="27"/>
      <c r="L33" s="30"/>
      <c r="N33" s="2"/>
      <c r="O33" s="2"/>
      <c r="P33" s="2"/>
      <c r="Q33" s="2"/>
      <c r="T33" s="192" t="s">
        <v>78</v>
      </c>
      <c r="U33" s="193">
        <f>U32/4.1855</f>
        <v>383.60567645504233</v>
      </c>
      <c r="V33" s="192" t="s">
        <v>80</v>
      </c>
    </row>
    <row r="34" spans="2:25" ht="16.2" customHeight="1" x14ac:dyDescent="0.3">
      <c r="B34" s="158" t="s">
        <v>116</v>
      </c>
      <c r="C34" s="33">
        <f>(I34-(2487*G34))/((1.005+(1.88*G34)))</f>
        <v>63.886120816937584</v>
      </c>
      <c r="D34" s="34">
        <f>((22.41/273)*(C34+273))*((1/29)+((1/18)*G34))</f>
        <v>1.0029779349023087</v>
      </c>
      <c r="E34" s="35">
        <f>D34*F34</f>
        <v>111657.66325975696</v>
      </c>
      <c r="F34" s="36">
        <f>F27+F31</f>
        <v>111326.14125816492</v>
      </c>
      <c r="G34" s="37">
        <f>H34/F34</f>
        <v>3.2142526975351526E-2</v>
      </c>
      <c r="H34" s="35">
        <f>H27+H31</f>
        <v>3578.3034984523606</v>
      </c>
      <c r="I34" s="38">
        <f>K34/F34</f>
        <v>148.0045233687344</v>
      </c>
      <c r="J34" s="39">
        <f>I34/4.1855</f>
        <v>35.361252746083956</v>
      </c>
      <c r="K34" s="204">
        <f>K27+K31</f>
        <v>16476772.475395096</v>
      </c>
      <c r="L34" s="205">
        <f>J34*F34</f>
        <v>3936631.8182762149</v>
      </c>
      <c r="N34" s="2"/>
      <c r="O34" s="2"/>
      <c r="P34" s="2"/>
      <c r="Q34" s="2"/>
    </row>
    <row r="35" spans="2:25" ht="16.2" customHeight="1" x14ac:dyDescent="0.3">
      <c r="B35" s="40" t="s">
        <v>162</v>
      </c>
      <c r="C35" s="41"/>
      <c r="D35" s="156">
        <f>1/D34</f>
        <v>0.99703090686376994</v>
      </c>
      <c r="E35" s="42"/>
      <c r="F35" s="43"/>
      <c r="G35" s="301">
        <f>I94</f>
        <v>20.929618383149649</v>
      </c>
      <c r="H35" s="44"/>
      <c r="I35" s="45"/>
      <c r="J35" s="46"/>
      <c r="K35" s="47"/>
      <c r="L35" s="48"/>
    </row>
    <row r="36" spans="2:25" ht="22.2" customHeight="1" x14ac:dyDescent="0.3">
      <c r="B36" s="279" t="s">
        <v>263</v>
      </c>
      <c r="C36" s="2"/>
      <c r="D36" s="2"/>
      <c r="E36" s="2"/>
      <c r="F36" s="2"/>
      <c r="G36" s="2"/>
      <c r="H36" s="2"/>
      <c r="I36" s="2"/>
      <c r="J36" s="2"/>
      <c r="K36" s="2"/>
      <c r="L36" s="2"/>
      <c r="T36" s="192" t="s">
        <v>81</v>
      </c>
      <c r="U36" s="193">
        <f>U15-U32</f>
        <v>45.010131095601309</v>
      </c>
      <c r="V36" s="192" t="s">
        <v>79</v>
      </c>
    </row>
    <row r="37" spans="2:25" ht="16.2" customHeight="1" x14ac:dyDescent="0.3">
      <c r="B37" s="14"/>
      <c r="C37" s="15"/>
      <c r="D37" s="16"/>
      <c r="E37" s="16"/>
      <c r="F37" s="15"/>
      <c r="G37" s="16"/>
      <c r="H37" s="16"/>
      <c r="I37" s="101"/>
      <c r="J37" s="102"/>
      <c r="K37" s="17"/>
      <c r="L37" s="18"/>
      <c r="T37" s="192"/>
      <c r="U37" s="193">
        <f>U16-U33</f>
        <v>10.753824177661329</v>
      </c>
      <c r="V37" s="192" t="s">
        <v>80</v>
      </c>
    </row>
    <row r="38" spans="2:25" ht="16.2" customHeight="1" x14ac:dyDescent="0.3">
      <c r="B38" s="19" t="s">
        <v>59</v>
      </c>
      <c r="C38" s="103">
        <v>70</v>
      </c>
      <c r="D38" s="337">
        <f>((22.41/273)*(C38+273))*((1/29)+((1/18)*G38))</f>
        <v>0.98497993368700276</v>
      </c>
      <c r="E38" s="332">
        <f>F38*D38</f>
        <v>29549.398010610083</v>
      </c>
      <c r="F38" s="336">
        <v>30000</v>
      </c>
      <c r="G38" s="194">
        <v>8.9999999999999993E-3</v>
      </c>
      <c r="H38" s="95">
        <f>F38*G38</f>
        <v>270</v>
      </c>
      <c r="I38" s="96">
        <f>(((1.005+(1.88*$G$38))*$C$38)+(2487*$G$38))</f>
        <v>93.917399999999986</v>
      </c>
      <c r="J38" s="97">
        <f>I38/4.1855</f>
        <v>22.438752837175961</v>
      </c>
      <c r="K38" s="20">
        <f>F38*I38</f>
        <v>2817521.9999999995</v>
      </c>
      <c r="L38" s="6">
        <f>K38/4.1855</f>
        <v>673162.58511527884</v>
      </c>
    </row>
    <row r="39" spans="2:25" ht="16.2" customHeight="1" x14ac:dyDescent="0.3">
      <c r="B39" s="19"/>
      <c r="C39" s="106"/>
      <c r="D39" s="98">
        <f>1/D38</f>
        <v>1.0152491089404976</v>
      </c>
      <c r="E39" s="20"/>
      <c r="F39" s="104"/>
      <c r="G39" s="11"/>
      <c r="H39" s="105"/>
      <c r="I39" s="96"/>
      <c r="J39" s="97"/>
      <c r="K39" s="20"/>
      <c r="L39" s="6"/>
      <c r="T39" t="s">
        <v>129</v>
      </c>
      <c r="U39" s="125">
        <f>'Simul 2'!H9*'Simul 2'!U16</f>
        <v>1660997.3806199695</v>
      </c>
      <c r="V39" t="s">
        <v>80</v>
      </c>
      <c r="Y39" s="125"/>
    </row>
    <row r="40" spans="2:25" ht="16.2" customHeight="1" x14ac:dyDescent="0.3">
      <c r="B40" s="107" t="s">
        <v>40</v>
      </c>
      <c r="C40" s="106"/>
      <c r="D40" s="108"/>
      <c r="E40" s="109"/>
      <c r="F40" s="110"/>
      <c r="G40" s="111"/>
      <c r="H40" s="195">
        <f>H6-H9</f>
        <v>137.44050053343108</v>
      </c>
      <c r="I40" s="112"/>
      <c r="J40" s="97"/>
      <c r="K40" s="20"/>
      <c r="L40" s="6"/>
      <c r="T40" t="s">
        <v>130</v>
      </c>
      <c r="U40" s="125">
        <f>'Simul 2'!H9*'Simul 2'!U33</f>
        <v>1615703.4958217447</v>
      </c>
      <c r="V40" t="s">
        <v>80</v>
      </c>
      <c r="Y40" s="125"/>
    </row>
    <row r="41" spans="2:25" ht="16.2" customHeight="1" x14ac:dyDescent="0.3">
      <c r="B41" s="176"/>
      <c r="C41" s="177"/>
      <c r="D41" s="178"/>
      <c r="E41" s="179"/>
      <c r="F41" s="180"/>
      <c r="G41" s="181"/>
      <c r="H41" s="182"/>
      <c r="I41" s="99"/>
      <c r="J41" s="100"/>
      <c r="K41" s="179"/>
      <c r="L41" s="182"/>
      <c r="T41" s="269" t="s">
        <v>131</v>
      </c>
      <c r="U41" s="270">
        <f>U39-U40</f>
        <v>45293.884798224783</v>
      </c>
      <c r="V41" s="271" t="s">
        <v>80</v>
      </c>
      <c r="Y41" s="125"/>
    </row>
    <row r="42" spans="2:25" ht="16.2" customHeight="1" x14ac:dyDescent="0.3">
      <c r="B42" s="14"/>
      <c r="C42" s="25"/>
      <c r="D42" s="26"/>
      <c r="E42" s="27"/>
      <c r="F42" s="28"/>
      <c r="G42" s="29"/>
      <c r="H42" s="30"/>
      <c r="I42" s="101"/>
      <c r="J42" s="102"/>
      <c r="K42" s="27"/>
      <c r="L42" s="30"/>
    </row>
    <row r="43" spans="2:25" ht="16.2" customHeight="1" x14ac:dyDescent="0.3">
      <c r="B43" s="158" t="s">
        <v>60</v>
      </c>
      <c r="C43" s="33">
        <f>(I43-(2487*G43))/((1.005+(1.88*G43)))</f>
        <v>58.358719344327952</v>
      </c>
      <c r="D43" s="34">
        <f>((22.41/273)*(C43+273))*((1/29)+((1/18)*G43))</f>
        <v>0.95847318262396641</v>
      </c>
      <c r="E43" s="35">
        <f>D43*F43</f>
        <v>28754.195478718993</v>
      </c>
      <c r="F43" s="36">
        <f>F38</f>
        <v>30000</v>
      </c>
      <c r="G43" s="37">
        <f>H43/F43</f>
        <v>1.3581350017781036E-2</v>
      </c>
      <c r="H43" s="35">
        <f>SUM(H38:H41)</f>
        <v>407.44050053343108</v>
      </c>
      <c r="I43" s="113">
        <f>I38</f>
        <v>93.917399999999986</v>
      </c>
      <c r="J43" s="114">
        <f>I43/4.1855</f>
        <v>22.438752837175961</v>
      </c>
      <c r="K43" s="196">
        <f>F43*I43</f>
        <v>2817521.9999999995</v>
      </c>
      <c r="L43" s="197">
        <f>K43/4.1855</f>
        <v>673162.58511527884</v>
      </c>
    </row>
    <row r="44" spans="2:25" ht="16.2" customHeight="1" x14ac:dyDescent="0.3">
      <c r="B44" s="115"/>
      <c r="C44" s="116"/>
      <c r="D44" s="117">
        <f>1/D43</f>
        <v>1.0433260086237861</v>
      </c>
      <c r="E44" s="118"/>
      <c r="F44" s="119"/>
      <c r="G44" s="300">
        <f>I103</f>
        <v>11.743067180230375</v>
      </c>
      <c r="H44" s="120"/>
      <c r="I44" s="121" t="s">
        <v>41</v>
      </c>
      <c r="J44" s="122"/>
      <c r="K44" s="123"/>
      <c r="L44" s="124"/>
      <c r="N44" s="327" t="s">
        <v>203</v>
      </c>
      <c r="O44" s="186"/>
      <c r="P44" s="186"/>
      <c r="Q44" s="186"/>
      <c r="R44" s="186"/>
    </row>
    <row r="45" spans="2:25" ht="16.2" customHeight="1" x14ac:dyDescent="0.3">
      <c r="B45" s="14"/>
      <c r="C45" s="15"/>
      <c r="D45" s="16"/>
      <c r="E45" s="16"/>
      <c r="F45" s="15"/>
      <c r="G45" s="16"/>
      <c r="H45" s="16"/>
      <c r="I45" s="101"/>
      <c r="J45" s="102"/>
      <c r="K45" s="17"/>
      <c r="L45" s="18"/>
    </row>
    <row r="46" spans="2:25" ht="16.2" customHeight="1" x14ac:dyDescent="0.3">
      <c r="B46" s="19" t="s">
        <v>112</v>
      </c>
      <c r="C46" s="103">
        <v>20</v>
      </c>
      <c r="D46" s="337">
        <f>((22.41/273)*(C46+273))*((1/29)+((1/18)*G46))</f>
        <v>0.83204339143615003</v>
      </c>
      <c r="E46" s="332">
        <f>F46*D46</f>
        <v>16640.867828723</v>
      </c>
      <c r="F46" s="336">
        <v>20000</v>
      </c>
      <c r="G46" s="194">
        <v>2E-3</v>
      </c>
      <c r="H46" s="105">
        <f>G46*F46</f>
        <v>40</v>
      </c>
      <c r="I46" s="96">
        <f>(((1.005+(1.88*$G$46))*$C$46)+(2487*$G$46))</f>
        <v>25.149199999999997</v>
      </c>
      <c r="J46" s="97">
        <f>I46/4.1855</f>
        <v>6.0086489069406275</v>
      </c>
      <c r="K46" s="20">
        <f>F46*I46</f>
        <v>502983.99999999994</v>
      </c>
      <c r="L46" s="6">
        <f>K46/4.1855</f>
        <v>120172.97813881254</v>
      </c>
    </row>
    <row r="47" spans="2:25" ht="16.2" customHeight="1" x14ac:dyDescent="0.3">
      <c r="B47" s="19"/>
      <c r="C47" s="106"/>
      <c r="D47" s="98">
        <f>1/D46</f>
        <v>1.2018603960953864</v>
      </c>
      <c r="E47" s="20"/>
      <c r="F47" s="104"/>
      <c r="G47" s="11"/>
      <c r="H47" s="105"/>
      <c r="I47" s="96"/>
      <c r="J47" s="97"/>
      <c r="K47" s="20"/>
      <c r="L47" s="6"/>
    </row>
    <row r="48" spans="2:25" ht="16.2" customHeight="1" x14ac:dyDescent="0.3">
      <c r="B48" s="107" t="s">
        <v>61</v>
      </c>
      <c r="C48" s="106"/>
      <c r="D48" s="108"/>
      <c r="E48" s="109"/>
      <c r="F48" s="110"/>
      <c r="G48" s="111"/>
      <c r="H48" s="105"/>
      <c r="I48" s="112"/>
      <c r="J48" s="97"/>
      <c r="K48" s="263">
        <f>L48*4.1855</f>
        <v>189577.55482296983</v>
      </c>
      <c r="L48" s="195">
        <f>'Simul 2'!U41</f>
        <v>45293.884798224783</v>
      </c>
    </row>
    <row r="49" spans="2:32" ht="16.2" customHeight="1" x14ac:dyDescent="0.3">
      <c r="B49" s="176"/>
      <c r="C49" s="177"/>
      <c r="D49" s="178"/>
      <c r="E49" s="179"/>
      <c r="F49" s="180"/>
      <c r="G49" s="181"/>
      <c r="H49" s="182"/>
      <c r="I49" s="99"/>
      <c r="J49" s="100"/>
      <c r="K49" s="179"/>
      <c r="L49" s="182"/>
    </row>
    <row r="50" spans="2:32" ht="16.2" customHeight="1" x14ac:dyDescent="0.3">
      <c r="B50" s="14"/>
      <c r="C50" s="25"/>
      <c r="D50" s="26"/>
      <c r="E50" s="27"/>
      <c r="F50" s="28"/>
      <c r="G50" s="29"/>
      <c r="H50" s="30"/>
      <c r="I50" s="101"/>
      <c r="J50" s="102"/>
      <c r="K50" s="27"/>
      <c r="L50" s="30"/>
    </row>
    <row r="51" spans="2:32" ht="16.2" customHeight="1" x14ac:dyDescent="0.3">
      <c r="B51" s="158" t="s">
        <v>113</v>
      </c>
      <c r="C51" s="33">
        <f>(I51-(2487*G51))/((1.005+(1.88*G51)))</f>
        <v>29.396563841893503</v>
      </c>
      <c r="D51" s="34">
        <f>((22.41/273)*(C51+273))*((1/29)+((1/18)*G51))</f>
        <v>0.85872717589640735</v>
      </c>
      <c r="E51" s="35">
        <f>D51*F51</f>
        <v>17174.543517928149</v>
      </c>
      <c r="F51" s="36">
        <f>F46</f>
        <v>20000</v>
      </c>
      <c r="G51" s="37">
        <f>H51/F51</f>
        <v>2E-3</v>
      </c>
      <c r="H51" s="35">
        <f>SUM(H46:H49)</f>
        <v>40</v>
      </c>
      <c r="I51" s="38">
        <f>K51/F51</f>
        <v>34.628077741148488</v>
      </c>
      <c r="J51" s="114">
        <f>I51/4.1855</f>
        <v>8.2733431468518663</v>
      </c>
      <c r="K51" s="196">
        <f>K46+K48</f>
        <v>692561.55482296972</v>
      </c>
      <c r="L51" s="197">
        <f>K51/4.1855</f>
        <v>165466.86293703731</v>
      </c>
      <c r="N51" s="327" t="s">
        <v>224</v>
      </c>
      <c r="O51" s="186"/>
      <c r="P51" s="186"/>
      <c r="Q51" s="186"/>
      <c r="R51" s="186"/>
    </row>
    <row r="52" spans="2:32" ht="16.2" customHeight="1" x14ac:dyDescent="0.3">
      <c r="B52" s="115"/>
      <c r="C52" s="116"/>
      <c r="D52" s="117">
        <f>1/D51</f>
        <v>1.1645142113455544</v>
      </c>
      <c r="E52" s="118"/>
      <c r="F52" s="119"/>
      <c r="G52" s="300">
        <f>I112</f>
        <v>7.9371962135797327</v>
      </c>
      <c r="H52" s="120"/>
      <c r="I52" s="121" t="s">
        <v>41</v>
      </c>
      <c r="J52" s="122"/>
      <c r="K52" s="198"/>
      <c r="L52" s="199"/>
      <c r="T52" s="342" t="s">
        <v>245</v>
      </c>
      <c r="U52" s="343" t="s">
        <v>90</v>
      </c>
      <c r="V52" s="344"/>
      <c r="W52" s="345" t="s">
        <v>246</v>
      </c>
      <c r="X52" s="344"/>
    </row>
    <row r="53" spans="2:32" ht="16.2" customHeight="1" x14ac:dyDescent="0.3">
      <c r="B53" s="14"/>
      <c r="C53" s="25"/>
      <c r="D53" s="26"/>
      <c r="E53" s="27"/>
      <c r="F53" s="28"/>
      <c r="G53" s="29"/>
      <c r="H53" s="30"/>
      <c r="I53" s="101"/>
      <c r="J53" s="102"/>
      <c r="K53" s="200"/>
      <c r="L53" s="201"/>
      <c r="T53" s="257" t="s">
        <v>88</v>
      </c>
      <c r="U53" s="230">
        <v>1319</v>
      </c>
      <c r="V53" s="231" t="s">
        <v>89</v>
      </c>
      <c r="W53" s="260">
        <f>L57/H57</f>
        <v>1015.6112971135834</v>
      </c>
      <c r="X53" s="223" t="s">
        <v>89</v>
      </c>
    </row>
    <row r="54" spans="2:32" ht="16.2" customHeight="1" x14ac:dyDescent="0.3">
      <c r="B54" s="158" t="s">
        <v>117</v>
      </c>
      <c r="C54" s="33">
        <f>(I54-(2487*G54))/((1.005+(1.88*G54)))</f>
        <v>46.921966727025328</v>
      </c>
      <c r="D54" s="34">
        <f>((22.41/273)*(C54+273))*((1/29)+((1/18)*G54))</f>
        <v>0.91863294598866285</v>
      </c>
      <c r="E54" s="35">
        <f>D54*F54</f>
        <v>45931.647299433142</v>
      </c>
      <c r="F54" s="36">
        <f>F51+F43</f>
        <v>50000</v>
      </c>
      <c r="G54" s="37">
        <f>H54/F54</f>
        <v>8.948810010668622E-3</v>
      </c>
      <c r="H54" s="35">
        <f>H51+H43</f>
        <v>447.44050053343108</v>
      </c>
      <c r="I54" s="38">
        <f>K54/F54</f>
        <v>70.201671096459393</v>
      </c>
      <c r="J54" s="114">
        <f>I54/4.1855</f>
        <v>16.772588961046324</v>
      </c>
      <c r="K54" s="196">
        <f>L54*4.1855</f>
        <v>3510083.5548229697</v>
      </c>
      <c r="L54" s="197">
        <f>L51+L43</f>
        <v>838629.44805231621</v>
      </c>
      <c r="T54" s="256" t="s">
        <v>269</v>
      </c>
      <c r="U54" s="262">
        <f>U55/950</f>
        <v>2.2547008547008547</v>
      </c>
      <c r="V54" s="223" t="s">
        <v>89</v>
      </c>
      <c r="W54" s="242">
        <f>W55/950</f>
        <v>1.7360876873736468</v>
      </c>
      <c r="X54" s="223" t="s">
        <v>89</v>
      </c>
      <c r="Y54" s="214"/>
    </row>
    <row r="55" spans="2:32" ht="16.2" customHeight="1" x14ac:dyDescent="0.3">
      <c r="B55" s="115"/>
      <c r="C55" s="116"/>
      <c r="D55" s="117">
        <f>1/D54</f>
        <v>1.0885740647193611</v>
      </c>
      <c r="E55" s="118"/>
      <c r="F55" s="119"/>
      <c r="G55" s="301">
        <f>I121</f>
        <v>13.615873397366949</v>
      </c>
      <c r="H55" s="120"/>
      <c r="I55" s="121"/>
      <c r="J55" s="122"/>
      <c r="K55" s="123"/>
      <c r="L55" s="124"/>
      <c r="T55" s="258" t="s">
        <v>270</v>
      </c>
      <c r="U55" s="230">
        <f>U53/585*950</f>
        <v>2141.965811965812</v>
      </c>
      <c r="V55" s="231" t="s">
        <v>89</v>
      </c>
      <c r="W55" s="260">
        <f>W53/585*950</f>
        <v>1649.2833030049644</v>
      </c>
      <c r="X55" s="223" t="s">
        <v>89</v>
      </c>
      <c r="AB55" s="214"/>
      <c r="AC55" s="214"/>
      <c r="AD55" s="214"/>
      <c r="AE55" s="214"/>
      <c r="AF55" s="214"/>
    </row>
    <row r="56" spans="2:32" s="214" customFormat="1" ht="16.2" customHeight="1" x14ac:dyDescent="0.3">
      <c r="B56" s="206"/>
      <c r="C56" s="207"/>
      <c r="D56" s="208"/>
      <c r="E56" s="209"/>
      <c r="F56" s="209"/>
      <c r="G56" s="210"/>
      <c r="H56" s="209"/>
      <c r="I56" s="211"/>
      <c r="J56" s="212"/>
      <c r="K56" s="213"/>
      <c r="L56" s="213"/>
      <c r="T56" s="259" t="s">
        <v>271</v>
      </c>
      <c r="U56" s="232">
        <v>140</v>
      </c>
      <c r="V56" s="233" t="s">
        <v>89</v>
      </c>
      <c r="W56" s="261">
        <v>200</v>
      </c>
      <c r="X56" s="233" t="s">
        <v>89</v>
      </c>
      <c r="Z56"/>
      <c r="AA56"/>
      <c r="AB56"/>
      <c r="AC56"/>
      <c r="AD56"/>
      <c r="AE56"/>
      <c r="AF56"/>
    </row>
    <row r="57" spans="2:32" ht="16.2" customHeight="1" x14ac:dyDescent="0.3">
      <c r="B57" s="216" t="s">
        <v>132</v>
      </c>
      <c r="C57" s="215"/>
      <c r="D57" s="217" t="s">
        <v>86</v>
      </c>
      <c r="E57" s="218">
        <f>F57*D19</f>
        <v>94788.383431223949</v>
      </c>
      <c r="F57" s="219">
        <f>F38+F46+F19</f>
        <v>111326.14125816492</v>
      </c>
      <c r="G57" s="273" t="s">
        <v>87</v>
      </c>
      <c r="H57" s="274">
        <f>H24+H40</f>
        <v>2716.3682271288762</v>
      </c>
      <c r="I57" s="220"/>
      <c r="J57" s="221" t="s">
        <v>85</v>
      </c>
      <c r="K57" s="222">
        <f>(K22+K38)-((F57-F46)*I19)</f>
        <v>11546849.659338839</v>
      </c>
      <c r="L57" s="218">
        <f>K57/4.1855</f>
        <v>2758774.2585924831</v>
      </c>
      <c r="T57" s="214" t="s">
        <v>91</v>
      </c>
      <c r="U57" s="214"/>
      <c r="V57" s="214"/>
      <c r="W57" s="214"/>
      <c r="X57" s="214"/>
      <c r="Y57" s="214"/>
      <c r="AB57" s="214"/>
      <c r="AC57" s="214"/>
      <c r="AD57" s="214"/>
      <c r="AE57" s="214"/>
      <c r="AF57" s="214"/>
    </row>
    <row r="58" spans="2:32" s="214" customFormat="1" ht="16.2" customHeight="1" x14ac:dyDescent="0.3">
      <c r="B58" s="206"/>
      <c r="C58" s="207"/>
      <c r="D58" s="208"/>
      <c r="E58" s="209"/>
      <c r="F58" s="209"/>
      <c r="G58" s="210"/>
      <c r="H58" s="209"/>
      <c r="I58" s="211"/>
      <c r="J58" s="212"/>
      <c r="K58" s="213"/>
      <c r="L58" s="213"/>
      <c r="N58"/>
      <c r="O58"/>
      <c r="P58"/>
      <c r="Q58"/>
      <c r="R58"/>
      <c r="S58"/>
      <c r="T58"/>
      <c r="U58"/>
      <c r="V58"/>
      <c r="W58"/>
      <c r="X58"/>
      <c r="Y58"/>
      <c r="Z58"/>
      <c r="AA58"/>
    </row>
    <row r="59" spans="2:32" s="214" customFormat="1" ht="25.2" customHeight="1" x14ac:dyDescent="0.3">
      <c r="B59" s="279" t="s">
        <v>138</v>
      </c>
      <c r="C59" s="207"/>
      <c r="D59" s="208"/>
      <c r="E59" s="209"/>
      <c r="F59" s="209"/>
      <c r="G59" s="210"/>
      <c r="H59" s="209"/>
      <c r="I59" s="211"/>
      <c r="J59" s="212"/>
      <c r="K59" s="213"/>
      <c r="L59" s="213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</row>
    <row r="60" spans="2:32" ht="16.2" customHeight="1" x14ac:dyDescent="0.3">
      <c r="B60" s="126" t="s">
        <v>133</v>
      </c>
      <c r="C60" s="127"/>
      <c r="D60" s="278" t="str" cm="1">
        <f t="array" aca="1" ref="D60" ca="1">CELL("adresse",C19)</f>
        <v>$C$19</v>
      </c>
      <c r="E60" s="127"/>
      <c r="F60" s="128"/>
      <c r="G60" s="129"/>
      <c r="H60" s="129"/>
      <c r="I60" s="130"/>
      <c r="J60" s="131"/>
      <c r="K60" s="132"/>
      <c r="L60" s="133"/>
      <c r="N60" s="425"/>
    </row>
    <row r="61" spans="2:32" ht="16.2" customHeight="1" x14ac:dyDescent="0.3">
      <c r="B61" s="3" t="s">
        <v>42</v>
      </c>
      <c r="C61" s="134"/>
      <c r="D61" s="134"/>
      <c r="E61" s="134"/>
      <c r="F61" s="134"/>
      <c r="G61" s="135">
        <f>G19</f>
        <v>8.9999999999999993E-3</v>
      </c>
      <c r="H61" s="136"/>
      <c r="I61" s="137">
        <f>100000*(G61/(G61+$B$128))</f>
        <v>1447.999993403394</v>
      </c>
      <c r="J61" s="136" t="s">
        <v>18</v>
      </c>
      <c r="K61" s="138" t="s">
        <v>19</v>
      </c>
      <c r="L61" s="139"/>
      <c r="N61" s="425"/>
    </row>
    <row r="62" spans="2:32" ht="15.6" x14ac:dyDescent="0.3">
      <c r="B62" s="140" t="s">
        <v>20</v>
      </c>
      <c r="C62" s="136"/>
      <c r="D62" s="136"/>
      <c r="E62" s="136"/>
      <c r="F62" s="136"/>
      <c r="G62" s="141">
        <f>C19</f>
        <v>23.5</v>
      </c>
      <c r="H62" s="142"/>
      <c r="I62" s="143">
        <f>611.14*EXP(17.269*(((273.16+G62)-273.16)/((273.16+G62)-35.86)))</f>
        <v>2896.8815193735572</v>
      </c>
      <c r="J62" s="136" t="s">
        <v>18</v>
      </c>
      <c r="K62" s="138" t="s">
        <v>21</v>
      </c>
      <c r="L62" s="139"/>
      <c r="N62" s="425"/>
      <c r="T62" s="316"/>
    </row>
    <row r="63" spans="2:32" ht="16.8" customHeight="1" x14ac:dyDescent="0.3">
      <c r="B63" s="140" t="s">
        <v>22</v>
      </c>
      <c r="C63" s="136"/>
      <c r="D63" s="136"/>
      <c r="E63" s="136"/>
      <c r="F63" s="136"/>
      <c r="G63" s="141">
        <f>IF(G62&gt;50,VLOOKUP(I19,'Air humide'!$H$26:$K$246,4),G62*ATAN(0.151977*SQRT(I67+8.313659))+(0.00391838*(SQRT(I67^3))*ATAN(0.023101*I67))-ATAN(I67-1.676331)+ATAN(G62+I67)-4.686035)</f>
        <v>16.706256254360298</v>
      </c>
      <c r="H63" s="142" t="s">
        <v>137</v>
      </c>
      <c r="I63" s="143">
        <f>611.14*EXP(17.269*(((273.16+G63)-273.16)/((273.16+G63)-35.86)))</f>
        <v>1902.8845479255276</v>
      </c>
      <c r="J63" s="136" t="s">
        <v>18</v>
      </c>
      <c r="K63" s="138" t="s">
        <v>23</v>
      </c>
      <c r="L63" s="139"/>
      <c r="N63" s="425"/>
    </row>
    <row r="64" spans="2:32" ht="16.8" customHeight="1" x14ac:dyDescent="0.3">
      <c r="B64" s="140" t="s">
        <v>24</v>
      </c>
      <c r="C64" s="136"/>
      <c r="D64" s="136"/>
      <c r="E64" s="136"/>
      <c r="F64" s="136"/>
      <c r="G64" s="141">
        <f>(31.685*(LOG(I61/613.34))/(1-0.1311*(LOG(I61/613.34))))</f>
        <v>12.428503649319744</v>
      </c>
      <c r="H64" s="142"/>
      <c r="I64" s="143">
        <f>611.14*EXP(17.269*(((273.16+G64)-273.16)/((273.16+G64)-35.86)))</f>
        <v>1443.4202182703198</v>
      </c>
      <c r="J64" s="136" t="s">
        <v>18</v>
      </c>
      <c r="K64" s="138" t="s">
        <v>25</v>
      </c>
      <c r="L64" s="139"/>
      <c r="N64" s="426"/>
    </row>
    <row r="65" spans="2:20" ht="16.8" customHeight="1" x14ac:dyDescent="0.3">
      <c r="B65" s="140" t="s">
        <v>26</v>
      </c>
      <c r="C65" s="136"/>
      <c r="D65" s="136"/>
      <c r="E65" s="136"/>
      <c r="F65" s="136"/>
      <c r="G65" s="144">
        <f>(18/29)*(I62/($L$10-I62))</f>
        <v>1.8267791959156711E-2</v>
      </c>
      <c r="H65" s="142"/>
      <c r="I65" s="143"/>
      <c r="J65" s="136"/>
      <c r="K65" s="138" t="s">
        <v>27</v>
      </c>
      <c r="L65" s="139"/>
      <c r="N65" s="425"/>
    </row>
    <row r="66" spans="2:20" ht="16.8" customHeight="1" x14ac:dyDescent="0.3">
      <c r="B66" s="140" t="s">
        <v>28</v>
      </c>
      <c r="C66" s="136"/>
      <c r="D66" s="136"/>
      <c r="E66" s="136"/>
      <c r="F66" s="136"/>
      <c r="G66" s="144">
        <f>(18/29)*(I63/($L$10-I63))</f>
        <v>1.1879658248210875E-2</v>
      </c>
      <c r="H66" s="142"/>
      <c r="I66" s="143"/>
      <c r="J66" s="136"/>
      <c r="K66" s="138" t="s">
        <v>29</v>
      </c>
      <c r="L66" s="139"/>
      <c r="N66" s="425"/>
    </row>
    <row r="67" spans="2:20" ht="16.8" customHeight="1" x14ac:dyDescent="0.3">
      <c r="B67" s="145" t="s">
        <v>30</v>
      </c>
      <c r="C67" s="146"/>
      <c r="D67" s="146"/>
      <c r="E67" s="146"/>
      <c r="F67" s="147" t="s">
        <v>31</v>
      </c>
      <c r="G67" s="147"/>
      <c r="H67" s="147"/>
      <c r="I67" s="148">
        <f>I61/I62%</f>
        <v>49.984784801158177</v>
      </c>
      <c r="J67" s="146" t="s">
        <v>32</v>
      </c>
      <c r="K67" s="149" t="s">
        <v>33</v>
      </c>
      <c r="L67" s="150"/>
    </row>
    <row r="68" spans="2:20" ht="16.8" customHeight="1" x14ac:dyDescent="0.3">
      <c r="B68" s="2"/>
      <c r="C68" s="2"/>
      <c r="D68" s="2"/>
      <c r="E68" s="2"/>
      <c r="F68" s="2"/>
      <c r="G68" s="2"/>
      <c r="H68" s="2"/>
      <c r="I68" s="2"/>
      <c r="J68" s="2"/>
      <c r="K68" s="51"/>
      <c r="L68" s="2"/>
    </row>
    <row r="69" spans="2:20" ht="16.8" customHeight="1" x14ac:dyDescent="0.3">
      <c r="B69" s="126" t="s">
        <v>43</v>
      </c>
      <c r="C69" s="127"/>
      <c r="D69" s="278" t="str" cm="1">
        <f t="array" aca="1" ref="D69" ca="1">CELL("adresse",C22)</f>
        <v>$C$22</v>
      </c>
      <c r="E69" s="127"/>
      <c r="F69" s="128"/>
      <c r="G69" s="129"/>
      <c r="H69" s="129"/>
      <c r="I69" s="130"/>
      <c r="J69" s="131"/>
      <c r="K69" s="151"/>
      <c r="L69" s="133"/>
    </row>
    <row r="70" spans="2:20" ht="16.8" customHeight="1" x14ac:dyDescent="0.3">
      <c r="B70" s="3" t="s">
        <v>44</v>
      </c>
      <c r="C70" s="134"/>
      <c r="D70" s="134"/>
      <c r="E70" s="134"/>
      <c r="F70" s="134"/>
      <c r="G70" s="135">
        <f>G22</f>
        <v>8.9999999999999993E-3</v>
      </c>
      <c r="H70" s="136"/>
      <c r="I70" s="137">
        <f>100000*(G70/(G70+B128))</f>
        <v>1447.999993403394</v>
      </c>
      <c r="J70" s="136" t="s">
        <v>18</v>
      </c>
      <c r="K70" s="138" t="s">
        <v>19</v>
      </c>
      <c r="L70" s="139"/>
    </row>
    <row r="71" spans="2:20" ht="16.8" customHeight="1" x14ac:dyDescent="0.3">
      <c r="B71" s="140" t="s">
        <v>20</v>
      </c>
      <c r="C71" s="134"/>
      <c r="D71" s="134"/>
      <c r="E71" s="134"/>
      <c r="F71" s="134"/>
      <c r="G71" s="141">
        <f>C22</f>
        <v>185</v>
      </c>
      <c r="H71" s="152"/>
      <c r="I71" s="143">
        <f>((G71/100)^4)*L10</f>
        <v>1186871.0207812502</v>
      </c>
      <c r="J71" s="136" t="s">
        <v>18</v>
      </c>
      <c r="K71" s="138" t="s">
        <v>21</v>
      </c>
      <c r="L71" s="139"/>
    </row>
    <row r="72" spans="2:20" ht="16.8" customHeight="1" x14ac:dyDescent="0.3">
      <c r="B72" s="140" t="s">
        <v>22</v>
      </c>
      <c r="C72" s="134"/>
      <c r="D72" s="134"/>
      <c r="E72" s="134"/>
      <c r="F72" s="134"/>
      <c r="G72" s="141">
        <f>VLOOKUP(ROUND(I22,-1),'Air humide'!$H$26:$K$246,4)</f>
        <v>44.5</v>
      </c>
      <c r="H72" s="142" t="s">
        <v>137</v>
      </c>
      <c r="I72" s="143">
        <f>611.14*EXP(17.269*(((273.16+G72)-273.16)/((273.16+G72)-35.86)))</f>
        <v>9342.5340675363059</v>
      </c>
      <c r="J72" s="136" t="s">
        <v>18</v>
      </c>
      <c r="K72" s="138" t="s">
        <v>23</v>
      </c>
      <c r="L72" s="139"/>
      <c r="N72" s="426"/>
    </row>
    <row r="73" spans="2:20" ht="16.8" customHeight="1" x14ac:dyDescent="0.3">
      <c r="B73" s="140" t="s">
        <v>24</v>
      </c>
      <c r="C73" s="134"/>
      <c r="D73" s="134"/>
      <c r="E73" s="134"/>
      <c r="F73" s="134"/>
      <c r="G73" s="141">
        <f>(31.685*(LOG(I70/613.34))/(1-0.1311*(LOG(I70/613.34))))</f>
        <v>12.428503649319744</v>
      </c>
      <c r="H73" s="152"/>
      <c r="I73" s="143">
        <f>611.14*EXP(17.269*(((273.16+G73)-273.16)/((273.16+G73)-35.86)))</f>
        <v>1443.4202182703198</v>
      </c>
      <c r="J73" s="136" t="s">
        <v>18</v>
      </c>
      <c r="K73" s="138" t="s">
        <v>25</v>
      </c>
      <c r="L73" s="139"/>
      <c r="T73" s="316"/>
    </row>
    <row r="74" spans="2:20" ht="16.8" customHeight="1" x14ac:dyDescent="0.3">
      <c r="B74" s="140"/>
      <c r="C74" s="134"/>
      <c r="D74" s="134"/>
      <c r="E74" s="134"/>
      <c r="F74" s="134"/>
      <c r="G74" s="144"/>
      <c r="H74" s="152"/>
      <c r="I74" s="143"/>
      <c r="J74" s="134"/>
      <c r="K74" s="138"/>
      <c r="L74" s="139"/>
    </row>
    <row r="75" spans="2:20" ht="16.8" customHeight="1" x14ac:dyDescent="0.3">
      <c r="B75" s="140" t="s">
        <v>28</v>
      </c>
      <c r="C75" s="134"/>
      <c r="D75" s="134"/>
      <c r="E75" s="134"/>
      <c r="F75" s="134"/>
      <c r="G75" s="144">
        <f>(18/29)*(I72/($L$10-I72))</f>
        <v>6.30426048054996E-2</v>
      </c>
      <c r="H75" s="152"/>
      <c r="I75" s="143"/>
      <c r="J75" s="134"/>
      <c r="K75" s="138" t="s">
        <v>29</v>
      </c>
      <c r="L75" s="139"/>
      <c r="T75" s="427"/>
    </row>
    <row r="76" spans="2:20" ht="16.8" customHeight="1" x14ac:dyDescent="0.3">
      <c r="B76" s="145" t="s">
        <v>30</v>
      </c>
      <c r="C76" s="146"/>
      <c r="D76" s="146"/>
      <c r="E76" s="146"/>
      <c r="F76" s="147" t="s">
        <v>31</v>
      </c>
      <c r="G76" s="147"/>
      <c r="H76" s="147"/>
      <c r="I76" s="153">
        <f>I70/I71%</f>
        <v>0.12200146166263771</v>
      </c>
      <c r="J76" s="146" t="s">
        <v>32</v>
      </c>
      <c r="K76" s="149" t="s">
        <v>33</v>
      </c>
      <c r="L76" s="150"/>
      <c r="T76" s="427"/>
    </row>
    <row r="77" spans="2:20" ht="16.8" customHeight="1" x14ac:dyDescent="0.3">
      <c r="T77" s="427"/>
    </row>
    <row r="78" spans="2:20" ht="16.8" customHeight="1" x14ac:dyDescent="0.3">
      <c r="B78" s="126" t="s">
        <v>134</v>
      </c>
      <c r="C78" s="127"/>
      <c r="D78" s="278" t="str" cm="1">
        <f t="array" aca="1" ref="D78" ca="1">CELL("adresse",C27)</f>
        <v>$C$27</v>
      </c>
      <c r="E78" s="127"/>
      <c r="F78" s="128"/>
      <c r="G78" s="129"/>
      <c r="H78" s="129"/>
      <c r="I78" s="130"/>
      <c r="J78" s="131"/>
      <c r="K78" s="151"/>
      <c r="L78" s="133"/>
      <c r="T78" s="427"/>
    </row>
    <row r="79" spans="2:20" ht="16.8" customHeight="1" x14ac:dyDescent="0.3">
      <c r="B79" s="3" t="s">
        <v>46</v>
      </c>
      <c r="C79" s="134"/>
      <c r="D79" s="134"/>
      <c r="E79" s="134"/>
      <c r="F79" s="134"/>
      <c r="G79" s="135">
        <f>G27</f>
        <v>5.1052665856456257E-2</v>
      </c>
      <c r="H79" s="136"/>
      <c r="I79" s="137">
        <f>100000*(G79/(G79+B128))</f>
        <v>7693.293297252203</v>
      </c>
      <c r="J79" s="136" t="s">
        <v>18</v>
      </c>
      <c r="K79" s="138" t="s">
        <v>19</v>
      </c>
      <c r="L79" s="139"/>
      <c r="T79" s="427"/>
    </row>
    <row r="80" spans="2:20" ht="16.8" customHeight="1" x14ac:dyDescent="0.3">
      <c r="B80" s="140" t="s">
        <v>20</v>
      </c>
      <c r="C80" s="134"/>
      <c r="D80" s="134"/>
      <c r="E80" s="134"/>
      <c r="F80" s="134"/>
      <c r="G80" s="141">
        <f>C27</f>
        <v>76.722824966585335</v>
      </c>
      <c r="H80" s="152"/>
      <c r="I80" s="143">
        <f t="shared" ref="I80" si="2">611.14*EXP(17.269*(((273.16+G80)-273.16)/((273.16+G80)-35.86)))</f>
        <v>41544.914594694819</v>
      </c>
      <c r="J80" s="136" t="s">
        <v>18</v>
      </c>
      <c r="K80" s="138" t="s">
        <v>21</v>
      </c>
      <c r="L80" s="139"/>
      <c r="T80" s="427"/>
    </row>
    <row r="81" spans="2:32" ht="16.8" customHeight="1" x14ac:dyDescent="0.3">
      <c r="B81" s="140" t="s">
        <v>22</v>
      </c>
      <c r="C81" s="134"/>
      <c r="D81" s="134"/>
      <c r="E81" s="134"/>
      <c r="F81" s="134"/>
      <c r="G81" s="141">
        <f>VLOOKUP(ROUND(I27,-1),'Air humide'!$H$26:$K$246,4)</f>
        <v>44.5</v>
      </c>
      <c r="H81" s="142" t="s">
        <v>137</v>
      </c>
      <c r="I81" s="143">
        <f>611.14*EXP(17.269*(((273.16+G81)-273.16)/((273.16+G81)-35.86)))</f>
        <v>9342.5340675363059</v>
      </c>
      <c r="J81" s="136" t="s">
        <v>18</v>
      </c>
      <c r="K81" s="138" t="s">
        <v>23</v>
      </c>
      <c r="L81" s="139"/>
      <c r="N81" s="426"/>
      <c r="T81" s="427"/>
    </row>
    <row r="82" spans="2:32" ht="16.8" customHeight="1" x14ac:dyDescent="0.3">
      <c r="B82" s="140" t="s">
        <v>24</v>
      </c>
      <c r="C82" s="134"/>
      <c r="D82" s="134"/>
      <c r="E82" s="134"/>
      <c r="F82" s="134"/>
      <c r="G82" s="141">
        <f>(31.685*(LOG(I79/613.34))/(1-0.1311*(LOG(I79/613.34))))</f>
        <v>40.657968407319061</v>
      </c>
      <c r="H82" s="152"/>
      <c r="I82" s="143">
        <f>611.14*EXP(17.269*(((273.16+G82)-273.16)/((273.16+G82)-35.86)))</f>
        <v>7641.3405058698027</v>
      </c>
      <c r="J82" s="136" t="s">
        <v>18</v>
      </c>
      <c r="K82" s="138" t="s">
        <v>25</v>
      </c>
      <c r="L82" s="139"/>
      <c r="T82" s="427"/>
    </row>
    <row r="83" spans="2:32" ht="16.8" customHeight="1" x14ac:dyDescent="0.3">
      <c r="B83" s="140"/>
      <c r="C83" s="134"/>
      <c r="D83" s="134"/>
      <c r="E83" s="134"/>
      <c r="F83" s="134"/>
      <c r="G83" s="144"/>
      <c r="H83" s="152"/>
      <c r="I83" s="143"/>
      <c r="J83" s="134"/>
      <c r="K83" s="138"/>
      <c r="L83" s="139"/>
      <c r="T83" s="427"/>
    </row>
    <row r="84" spans="2:32" ht="16.8" customHeight="1" x14ac:dyDescent="0.3">
      <c r="B84" s="140" t="s">
        <v>28</v>
      </c>
      <c r="C84" s="134"/>
      <c r="D84" s="134"/>
      <c r="E84" s="134"/>
      <c r="F84" s="134"/>
      <c r="G84" s="144">
        <f>(18/29)*(I81/($L$10-I81))</f>
        <v>6.30426048054996E-2</v>
      </c>
      <c r="H84" s="152"/>
      <c r="I84" s="143"/>
      <c r="J84" s="134"/>
      <c r="K84" s="138" t="s">
        <v>29</v>
      </c>
      <c r="L84" s="139"/>
      <c r="N84" s="214"/>
      <c r="O84" s="214"/>
      <c r="P84" s="214"/>
      <c r="Q84" s="214"/>
      <c r="R84" s="214"/>
      <c r="T84" s="427"/>
      <c r="X84" s="214"/>
      <c r="Y84" s="214"/>
      <c r="Z84" s="214"/>
      <c r="AA84" s="214"/>
    </row>
    <row r="85" spans="2:32" ht="16.8" customHeight="1" x14ac:dyDescent="0.3">
      <c r="B85" s="145" t="s">
        <v>30</v>
      </c>
      <c r="C85" s="146"/>
      <c r="D85" s="146"/>
      <c r="E85" s="146"/>
      <c r="F85" s="147" t="s">
        <v>31</v>
      </c>
      <c r="G85" s="147"/>
      <c r="H85" s="147"/>
      <c r="I85" s="148">
        <f>I79/I80%</f>
        <v>18.518014472545378</v>
      </c>
      <c r="J85" s="146" t="s">
        <v>32</v>
      </c>
      <c r="K85" s="149" t="s">
        <v>33</v>
      </c>
      <c r="L85" s="150"/>
      <c r="T85" s="427"/>
      <c r="AB85" s="214"/>
      <c r="AC85" s="214"/>
      <c r="AD85" s="214"/>
      <c r="AE85" s="214"/>
      <c r="AF85" s="214"/>
    </row>
    <row r="86" spans="2:32" s="214" customFormat="1" ht="16.8" customHeight="1" x14ac:dyDescent="0.3">
      <c r="B86" s="284"/>
      <c r="C86" s="284"/>
      <c r="D86" s="284"/>
      <c r="E86" s="284"/>
      <c r="F86" s="285"/>
      <c r="G86" s="285"/>
      <c r="H86" s="285"/>
      <c r="I86" s="286"/>
      <c r="J86" s="284"/>
      <c r="K86" s="287"/>
      <c r="L86" s="288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</row>
    <row r="87" spans="2:32" ht="16.8" customHeight="1" x14ac:dyDescent="0.3">
      <c r="B87" s="126" t="s">
        <v>110</v>
      </c>
      <c r="C87" s="127"/>
      <c r="D87" s="127"/>
      <c r="E87" s="127"/>
      <c r="F87" s="278" t="str" cm="1">
        <f t="array" aca="1" ref="F87" ca="1">CELL("adresse",C34)</f>
        <v>$C$34</v>
      </c>
      <c r="G87" s="129"/>
      <c r="H87" s="129"/>
      <c r="I87" s="130"/>
      <c r="J87" s="131"/>
      <c r="K87" s="151"/>
      <c r="L87" s="133"/>
    </row>
    <row r="88" spans="2:32" ht="16.8" customHeight="1" x14ac:dyDescent="0.3">
      <c r="B88" s="3" t="s">
        <v>46</v>
      </c>
      <c r="C88" s="134"/>
      <c r="D88" s="134"/>
      <c r="E88" s="134"/>
      <c r="F88" s="134"/>
      <c r="G88" s="135">
        <f>G34</f>
        <v>3.2142526975351526E-2</v>
      </c>
      <c r="H88" s="136"/>
      <c r="I88" s="137">
        <f>100000*(G88/(G88+B128))</f>
        <v>4985.7376950365879</v>
      </c>
      <c r="J88" s="136" t="s">
        <v>18</v>
      </c>
      <c r="K88" s="138" t="s">
        <v>19</v>
      </c>
      <c r="L88" s="139"/>
    </row>
    <row r="89" spans="2:32" ht="16.8" customHeight="1" x14ac:dyDescent="0.3">
      <c r="B89" s="140" t="s">
        <v>20</v>
      </c>
      <c r="C89" s="134"/>
      <c r="D89" s="134"/>
      <c r="E89" s="134"/>
      <c r="F89" s="134"/>
      <c r="G89" s="141">
        <f>C34</f>
        <v>63.886120816937584</v>
      </c>
      <c r="H89" s="152"/>
      <c r="I89" s="143">
        <f t="shared" ref="I89" si="3">611.14*EXP(17.269*(((273.16+G89)-273.16)/((273.16+G89)-35.86)))</f>
        <v>23821.445779683138</v>
      </c>
      <c r="J89" s="136" t="s">
        <v>18</v>
      </c>
      <c r="K89" s="138" t="s">
        <v>21</v>
      </c>
      <c r="L89" s="139"/>
    </row>
    <row r="90" spans="2:32" ht="16.8" customHeight="1" x14ac:dyDescent="0.3">
      <c r="B90" s="140" t="s">
        <v>22</v>
      </c>
      <c r="C90" s="134"/>
      <c r="D90" s="134"/>
      <c r="E90" s="134"/>
      <c r="F90" s="134"/>
      <c r="G90" s="141">
        <f>VLOOKUP(I34,'Air humide'!$H$26:$K$246,4)</f>
        <v>37.5</v>
      </c>
      <c r="H90" s="142" t="s">
        <v>137</v>
      </c>
      <c r="I90" s="143">
        <f>611.14*EXP(17.269*(((273.16+G90)-273.16)/((273.16+G90)-35.86)))</f>
        <v>6450.4396896946337</v>
      </c>
      <c r="J90" s="136" t="s">
        <v>18</v>
      </c>
      <c r="K90" s="138" t="s">
        <v>23</v>
      </c>
      <c r="L90" s="139"/>
      <c r="N90" s="426"/>
    </row>
    <row r="91" spans="2:32" ht="16.8" customHeight="1" x14ac:dyDescent="0.3">
      <c r="B91" s="140" t="s">
        <v>24</v>
      </c>
      <c r="C91" s="134"/>
      <c r="D91" s="134"/>
      <c r="E91" s="134"/>
      <c r="F91" s="134"/>
      <c r="G91" s="141">
        <f>(31.685*(LOG(I88/613.34))/(1-0.1311*(LOG(I88/613.34))))</f>
        <v>32.740314568159661</v>
      </c>
      <c r="H91" s="152"/>
      <c r="I91" s="143">
        <f>611.14*EXP(17.269*(((273.16+G91)-273.16)/((273.16+G91)-35.86)))</f>
        <v>4959.4975346333867</v>
      </c>
      <c r="J91" s="136" t="s">
        <v>18</v>
      </c>
      <c r="K91" s="138" t="s">
        <v>25</v>
      </c>
      <c r="L91" s="139"/>
    </row>
    <row r="92" spans="2:32" ht="16.8" customHeight="1" x14ac:dyDescent="0.3">
      <c r="B92" s="140"/>
      <c r="C92" s="134"/>
      <c r="D92" s="134"/>
      <c r="E92" s="134"/>
      <c r="F92" s="134"/>
      <c r="G92" s="144"/>
      <c r="H92" s="152"/>
      <c r="I92" s="143"/>
      <c r="J92" s="134"/>
      <c r="K92" s="138"/>
      <c r="L92" s="139"/>
    </row>
    <row r="93" spans="2:32" ht="16.8" customHeight="1" x14ac:dyDescent="0.3">
      <c r="B93" s="140" t="s">
        <v>28</v>
      </c>
      <c r="C93" s="134"/>
      <c r="D93" s="134"/>
      <c r="E93" s="134"/>
      <c r="F93" s="134"/>
      <c r="G93" s="144">
        <f>(18/29)*(I90/($L$10-I90))</f>
        <v>4.2200155380031058E-2</v>
      </c>
      <c r="H93" s="152"/>
      <c r="I93" s="143"/>
      <c r="J93" s="134"/>
      <c r="K93" s="138" t="s">
        <v>29</v>
      </c>
      <c r="L93" s="139"/>
    </row>
    <row r="94" spans="2:32" ht="16.8" customHeight="1" x14ac:dyDescent="0.3">
      <c r="B94" s="145" t="s">
        <v>30</v>
      </c>
      <c r="C94" s="146"/>
      <c r="D94" s="146"/>
      <c r="E94" s="146"/>
      <c r="F94" s="147" t="s">
        <v>31</v>
      </c>
      <c r="G94" s="147"/>
      <c r="H94" s="147"/>
      <c r="I94" s="148">
        <f>I88/I89%</f>
        <v>20.929618383149649</v>
      </c>
      <c r="J94" s="146" t="s">
        <v>32</v>
      </c>
      <c r="K94" s="149" t="s">
        <v>33</v>
      </c>
      <c r="L94" s="150"/>
    </row>
    <row r="95" spans="2:32" ht="16.8" customHeight="1" x14ac:dyDescent="0.3">
      <c r="B95" s="279" t="s">
        <v>138</v>
      </c>
    </row>
    <row r="96" spans="2:32" ht="16.8" customHeight="1" x14ac:dyDescent="0.3">
      <c r="B96" s="126" t="s">
        <v>135</v>
      </c>
      <c r="C96" s="127"/>
      <c r="D96" s="278" t="str" cm="1">
        <f t="array" aca="1" ref="D96" ca="1">CELL("adresse",C43)</f>
        <v>$C$43</v>
      </c>
      <c r="E96" s="127"/>
      <c r="F96" s="128"/>
      <c r="G96" s="129"/>
      <c r="H96" s="129"/>
      <c r="I96" s="130"/>
      <c r="J96" s="131"/>
      <c r="K96" s="151"/>
      <c r="L96" s="133"/>
    </row>
    <row r="97" spans="2:32" ht="16.8" customHeight="1" x14ac:dyDescent="0.3">
      <c r="B97" s="3" t="s">
        <v>46</v>
      </c>
      <c r="C97" s="134"/>
      <c r="D97" s="134"/>
      <c r="E97" s="134"/>
      <c r="F97" s="134"/>
      <c r="G97" s="135">
        <f>G43</f>
        <v>1.3581350017781036E-2</v>
      </c>
      <c r="H97" s="136"/>
      <c r="I97" s="137">
        <f>100000*(G97/(G97+B128))</f>
        <v>2169.1001205830171</v>
      </c>
      <c r="J97" s="136" t="s">
        <v>18</v>
      </c>
      <c r="K97" s="138" t="s">
        <v>19</v>
      </c>
      <c r="L97" s="139"/>
    </row>
    <row r="98" spans="2:32" ht="16.8" customHeight="1" x14ac:dyDescent="0.3">
      <c r="B98" s="140" t="s">
        <v>20</v>
      </c>
      <c r="C98" s="134"/>
      <c r="D98" s="134"/>
      <c r="E98" s="134"/>
      <c r="F98" s="134"/>
      <c r="G98" s="141">
        <f>C43</f>
        <v>58.358719344327952</v>
      </c>
      <c r="H98" s="152"/>
      <c r="I98" s="143">
        <f t="shared" ref="I98" si="4">611.14*EXP(17.269*(((273.16+G98)-273.16)/((273.16+G98)-35.86)))</f>
        <v>18471.325142674214</v>
      </c>
      <c r="J98" s="136" t="s">
        <v>18</v>
      </c>
      <c r="K98" s="138" t="s">
        <v>21</v>
      </c>
      <c r="L98" s="139"/>
    </row>
    <row r="99" spans="2:32" ht="16.8" customHeight="1" x14ac:dyDescent="0.3">
      <c r="B99" s="140" t="s">
        <v>22</v>
      </c>
      <c r="C99" s="134"/>
      <c r="D99" s="134"/>
      <c r="E99" s="134"/>
      <c r="F99" s="134"/>
      <c r="G99" s="141">
        <f>VLOOKUP(I43,'Air humide'!$H$26:$K$246,4)</f>
        <v>28.5</v>
      </c>
      <c r="H99" s="142" t="s">
        <v>137</v>
      </c>
      <c r="I99" s="143">
        <f>611.14*EXP(17.269*(((273.16+G99)-273.16)/((273.16+G99)-35.86)))</f>
        <v>3893.1281988867518</v>
      </c>
      <c r="J99" s="136" t="s">
        <v>18</v>
      </c>
      <c r="K99" s="138" t="s">
        <v>23</v>
      </c>
      <c r="L99" s="139"/>
      <c r="N99" s="426"/>
    </row>
    <row r="100" spans="2:32" ht="16.8" customHeight="1" x14ac:dyDescent="0.3">
      <c r="B100" s="140" t="s">
        <v>24</v>
      </c>
      <c r="C100" s="134"/>
      <c r="D100" s="134"/>
      <c r="E100" s="134"/>
      <c r="F100" s="134"/>
      <c r="G100" s="141">
        <f>(31.685*(LOG(I97/613.34))/(1-0.1311*(LOG(I97/613.34))))</f>
        <v>18.728641741846275</v>
      </c>
      <c r="H100" s="152"/>
      <c r="I100" s="143">
        <f>611.14*EXP(17.269*(((273.16+G100)-273.16)/((273.16+G100)-35.86)))</f>
        <v>2161.5121030834043</v>
      </c>
      <c r="J100" s="136" t="s">
        <v>18</v>
      </c>
      <c r="K100" s="138" t="s">
        <v>25</v>
      </c>
      <c r="L100" s="139"/>
    </row>
    <row r="101" spans="2:32" ht="16.8" customHeight="1" x14ac:dyDescent="0.3">
      <c r="B101" s="140"/>
      <c r="C101" s="134"/>
      <c r="D101" s="134"/>
      <c r="E101" s="134"/>
      <c r="F101" s="134"/>
      <c r="G101" s="144"/>
      <c r="H101" s="152"/>
      <c r="I101" s="143"/>
      <c r="J101" s="134"/>
      <c r="K101" s="138"/>
      <c r="L101" s="139"/>
    </row>
    <row r="102" spans="2:32" ht="16.8" customHeight="1" x14ac:dyDescent="0.3">
      <c r="B102" s="140" t="s">
        <v>28</v>
      </c>
      <c r="C102" s="134"/>
      <c r="D102" s="134"/>
      <c r="E102" s="134"/>
      <c r="F102" s="134"/>
      <c r="G102" s="144">
        <f>(18/29)*(I99/($L$10-I99))</f>
        <v>2.4801169829125756E-2</v>
      </c>
      <c r="H102" s="152"/>
      <c r="I102" s="143"/>
      <c r="J102" s="134"/>
      <c r="K102" s="138" t="s">
        <v>29</v>
      </c>
      <c r="L102" s="139"/>
    </row>
    <row r="103" spans="2:32" ht="16.8" customHeight="1" x14ac:dyDescent="0.3">
      <c r="B103" s="145" t="s">
        <v>30</v>
      </c>
      <c r="C103" s="146"/>
      <c r="D103" s="146"/>
      <c r="E103" s="146"/>
      <c r="F103" s="147" t="s">
        <v>31</v>
      </c>
      <c r="G103" s="147"/>
      <c r="H103" s="147"/>
      <c r="I103" s="148">
        <f>I97/I98%</f>
        <v>11.743067180230375</v>
      </c>
      <c r="J103" s="146" t="s">
        <v>32</v>
      </c>
      <c r="K103" s="149" t="s">
        <v>33</v>
      </c>
      <c r="L103" s="150"/>
    </row>
    <row r="104" spans="2:32" ht="16.8" customHeight="1" x14ac:dyDescent="0.3"/>
    <row r="105" spans="2:32" ht="16.8" customHeight="1" x14ac:dyDescent="0.3">
      <c r="B105" s="126" t="s">
        <v>125</v>
      </c>
      <c r="C105" s="127"/>
      <c r="D105" s="278" t="str" cm="1">
        <f t="array" aca="1" ref="D105" ca="1">CELL("adresse",C51)</f>
        <v>$C$51</v>
      </c>
      <c r="E105" s="127"/>
      <c r="F105" s="128"/>
      <c r="G105" s="129"/>
      <c r="H105" s="129"/>
      <c r="I105" s="130"/>
      <c r="J105" s="131"/>
      <c r="K105" s="151"/>
      <c r="L105" s="133"/>
    </row>
    <row r="106" spans="2:32" ht="16.8" customHeight="1" x14ac:dyDescent="0.3">
      <c r="B106" s="3" t="s">
        <v>46</v>
      </c>
      <c r="C106" s="134"/>
      <c r="D106" s="134"/>
      <c r="E106" s="134"/>
      <c r="F106" s="134"/>
      <c r="G106" s="135">
        <f>G51</f>
        <v>2E-3</v>
      </c>
      <c r="H106" s="136"/>
      <c r="I106" s="137">
        <f>100000*(G106/(G106+B128))</f>
        <v>325.44298754152442</v>
      </c>
      <c r="J106" s="136" t="s">
        <v>18</v>
      </c>
      <c r="K106" s="138" t="s">
        <v>19</v>
      </c>
      <c r="L106" s="139"/>
    </row>
    <row r="107" spans="2:32" ht="16.8" customHeight="1" x14ac:dyDescent="0.3">
      <c r="B107" s="140" t="s">
        <v>20</v>
      </c>
      <c r="C107" s="134"/>
      <c r="D107" s="134"/>
      <c r="E107" s="134"/>
      <c r="F107" s="134"/>
      <c r="G107" s="141">
        <f>C51</f>
        <v>29.396563841893503</v>
      </c>
      <c r="H107" s="152"/>
      <c r="I107" s="143">
        <f t="shared" ref="I107" si="5">611.14*EXP(17.269*(((273.16+G107)-273.16)/((273.16+G107)-35.86)))</f>
        <v>4100.2260594833815</v>
      </c>
      <c r="J107" s="136" t="s">
        <v>18</v>
      </c>
      <c r="K107" s="138" t="s">
        <v>21</v>
      </c>
      <c r="L107" s="139"/>
    </row>
    <row r="108" spans="2:32" ht="16.8" customHeight="1" x14ac:dyDescent="0.3">
      <c r="B108" s="140" t="s">
        <v>22</v>
      </c>
      <c r="C108" s="134"/>
      <c r="D108" s="134"/>
      <c r="E108" s="134"/>
      <c r="F108" s="134"/>
      <c r="G108" s="141">
        <f>IF(G107&gt;50,VLOOKUP(I64,'Air humide'!$H$26:$K$246,4),G107*ATAN(0.151977*SQRT(I112+8.313659))+(0.00391838*(SQRT(I112^3))*ATAN(0.023101*I112))-ATAN(I112-1.676331)+ATAN(G107+I112)-4.686035)</f>
        <v>11.619948994238417</v>
      </c>
      <c r="H108" s="142" t="s">
        <v>45</v>
      </c>
      <c r="I108" s="143">
        <f>611.14*EXP(17.269*(((273.16+G108)-273.16)/((273.16+G108)-35.86)))</f>
        <v>1368.4970343672878</v>
      </c>
      <c r="J108" s="136" t="s">
        <v>18</v>
      </c>
      <c r="K108" s="138" t="s">
        <v>23</v>
      </c>
      <c r="L108" s="139"/>
      <c r="N108" s="426"/>
    </row>
    <row r="109" spans="2:32" ht="16.8" customHeight="1" x14ac:dyDescent="0.3">
      <c r="B109" s="140" t="s">
        <v>24</v>
      </c>
      <c r="C109" s="134"/>
      <c r="D109" s="134"/>
      <c r="E109" s="134"/>
      <c r="F109" s="134"/>
      <c r="G109" s="141">
        <f>(31.685*(LOG(I106/613.34))/(1-0.1311*(LOG(I106/613.34))))+1</f>
        <v>-7.4168493105797353</v>
      </c>
      <c r="H109" s="152"/>
      <c r="I109" s="143">
        <f>611.14*EXP(17.269*(((273.16+G109)-273.16)/((273.16+G109)-35.86)))</f>
        <v>350.08171945817548</v>
      </c>
      <c r="J109" s="136" t="s">
        <v>18</v>
      </c>
      <c r="K109" s="138" t="s">
        <v>25</v>
      </c>
      <c r="L109" s="139"/>
    </row>
    <row r="110" spans="2:32" ht="16.8" customHeight="1" x14ac:dyDescent="0.3">
      <c r="B110" s="140"/>
      <c r="C110" s="134"/>
      <c r="D110" s="134"/>
      <c r="E110" s="134"/>
      <c r="F110" s="134"/>
      <c r="G110" s="144"/>
      <c r="H110" s="152"/>
      <c r="I110" s="143"/>
      <c r="J110" s="134"/>
      <c r="K110" s="138"/>
      <c r="L110" s="139"/>
    </row>
    <row r="111" spans="2:32" ht="16.8" customHeight="1" x14ac:dyDescent="0.3">
      <c r="B111" s="140" t="s">
        <v>28</v>
      </c>
      <c r="C111" s="134"/>
      <c r="D111" s="134"/>
      <c r="E111" s="134"/>
      <c r="F111" s="134"/>
      <c r="G111" s="144">
        <f>(18/29)*(I108/($L$10-I108))</f>
        <v>8.4978158215273866E-3</v>
      </c>
      <c r="H111" s="152"/>
      <c r="I111" s="143"/>
      <c r="J111" s="134"/>
      <c r="K111" s="138" t="s">
        <v>29</v>
      </c>
      <c r="L111" s="139"/>
      <c r="N111" s="214"/>
      <c r="O111" s="214"/>
      <c r="P111" s="214"/>
      <c r="Q111" s="214"/>
      <c r="R111" s="214"/>
      <c r="S111" s="214"/>
    </row>
    <row r="112" spans="2:32" x14ac:dyDescent="0.3">
      <c r="B112" s="145" t="s">
        <v>30</v>
      </c>
      <c r="C112" s="146"/>
      <c r="D112" s="146"/>
      <c r="E112" s="146"/>
      <c r="F112" s="147" t="s">
        <v>31</v>
      </c>
      <c r="G112" s="147"/>
      <c r="H112" s="147"/>
      <c r="I112" s="148">
        <f>I106/I107%</f>
        <v>7.9371962135797327</v>
      </c>
      <c r="J112" s="146" t="s">
        <v>32</v>
      </c>
      <c r="K112" s="149" t="s">
        <v>33</v>
      </c>
      <c r="L112" s="150"/>
      <c r="AB112" s="214"/>
      <c r="AC112" s="214"/>
      <c r="AD112" s="214"/>
      <c r="AE112" s="214"/>
      <c r="AF112" s="214"/>
    </row>
    <row r="113" spans="2:32" s="214" customFormat="1" x14ac:dyDescent="0.3">
      <c r="B113" s="254"/>
      <c r="C113" s="250"/>
      <c r="D113" s="250"/>
      <c r="E113" s="250"/>
      <c r="F113" s="251"/>
      <c r="G113" s="251"/>
      <c r="H113" s="251"/>
      <c r="I113" s="252"/>
      <c r="J113" s="250"/>
      <c r="K113" s="253"/>
      <c r="L113" s="255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</row>
    <row r="114" spans="2:32" x14ac:dyDescent="0.3">
      <c r="B114" s="126" t="s">
        <v>136</v>
      </c>
      <c r="C114" s="127"/>
      <c r="D114" s="278" t="str" cm="1">
        <f t="array" aca="1" ref="D114" ca="1">CELL("adresse",C54)</f>
        <v>$C$54</v>
      </c>
      <c r="E114" s="127"/>
      <c r="F114" s="128"/>
      <c r="G114" s="129"/>
      <c r="H114" s="129"/>
      <c r="I114" s="130"/>
      <c r="J114" s="131"/>
      <c r="K114" s="151"/>
      <c r="L114" s="133"/>
    </row>
    <row r="115" spans="2:32" x14ac:dyDescent="0.3">
      <c r="B115" s="3" t="s">
        <v>46</v>
      </c>
      <c r="C115" s="134"/>
      <c r="D115" s="134"/>
      <c r="E115" s="134"/>
      <c r="F115" s="134"/>
      <c r="G115" s="135">
        <f>G54</f>
        <v>8.948810010668622E-3</v>
      </c>
      <c r="H115" s="136"/>
      <c r="I115" s="137">
        <f>100000*(G115/(G115+B128))</f>
        <v>1439.8826802395588</v>
      </c>
      <c r="J115" s="136" t="s">
        <v>18</v>
      </c>
      <c r="K115" s="138" t="s">
        <v>19</v>
      </c>
      <c r="L115" s="139"/>
    </row>
    <row r="116" spans="2:32" x14ac:dyDescent="0.3">
      <c r="B116" s="140" t="s">
        <v>20</v>
      </c>
      <c r="C116" s="134"/>
      <c r="D116" s="134"/>
      <c r="E116" s="134"/>
      <c r="F116" s="134"/>
      <c r="G116" s="141">
        <f>C54</f>
        <v>46.921966727025328</v>
      </c>
      <c r="H116" s="152"/>
      <c r="I116" s="143">
        <f t="shared" ref="I116" si="6">611.14*EXP(17.269*(((273.16+G116)-273.16)/((273.16+G116)-35.86)))</f>
        <v>10575.029880330738</v>
      </c>
      <c r="J116" s="136" t="s">
        <v>18</v>
      </c>
      <c r="K116" s="138" t="s">
        <v>21</v>
      </c>
      <c r="L116" s="139"/>
    </row>
    <row r="117" spans="2:32" x14ac:dyDescent="0.3">
      <c r="B117" s="140" t="s">
        <v>22</v>
      </c>
      <c r="C117" s="134"/>
      <c r="D117" s="134"/>
      <c r="E117" s="134"/>
      <c r="F117" s="134"/>
      <c r="G117" s="141">
        <f>IF(G116&gt;50,VLOOKUP(I73,'Air humide'!$H$26:$K$246,4),G116*ATAN(0.151977*SQRT(I121+8.313659))+(0.00391838*(SQRT(I121^3))*ATAN(0.023101*I121))-ATAN(I121-1.676331)+ATAN(G116+I121)-4.686035)</f>
        <v>24.46366640305683</v>
      </c>
      <c r="H117" s="142" t="s">
        <v>137</v>
      </c>
      <c r="I117" s="143">
        <f>611.14*EXP(17.269*(((273.16+G117)-273.16)/((273.16+G117)-35.86)))</f>
        <v>3069.3966197255208</v>
      </c>
      <c r="J117" s="136" t="s">
        <v>18</v>
      </c>
      <c r="K117" s="138" t="s">
        <v>23</v>
      </c>
      <c r="L117" s="139"/>
      <c r="N117" s="426"/>
    </row>
    <row r="118" spans="2:32" x14ac:dyDescent="0.3">
      <c r="B118" s="140" t="s">
        <v>24</v>
      </c>
      <c r="C118" s="134"/>
      <c r="D118" s="134"/>
      <c r="E118" s="134"/>
      <c r="F118" s="134"/>
      <c r="G118" s="141">
        <f>(31.685*(LOG(I115/613.34))/(1-0.1311*(LOG(I115/613.34))))</f>
        <v>12.343014350926705</v>
      </c>
      <c r="H118" s="152"/>
      <c r="I118" s="143">
        <f>611.14*EXP(17.269*(((273.16+G118)-273.16)/((273.16+G118)-35.86)))</f>
        <v>1435.3318248267892</v>
      </c>
      <c r="J118" s="136" t="s">
        <v>18</v>
      </c>
      <c r="K118" s="138" t="s">
        <v>25</v>
      </c>
      <c r="L118" s="139"/>
    </row>
    <row r="119" spans="2:32" x14ac:dyDescent="0.3">
      <c r="B119" s="140"/>
      <c r="C119" s="134"/>
      <c r="D119" s="134"/>
      <c r="E119" s="134"/>
      <c r="F119" s="134"/>
      <c r="G119" s="144"/>
      <c r="H119" s="152"/>
      <c r="I119" s="143"/>
      <c r="J119" s="134"/>
      <c r="K119" s="138"/>
      <c r="L119" s="139"/>
    </row>
    <row r="120" spans="2:32" x14ac:dyDescent="0.3">
      <c r="B120" s="140" t="s">
        <v>28</v>
      </c>
      <c r="C120" s="134"/>
      <c r="D120" s="134"/>
      <c r="E120" s="134"/>
      <c r="F120" s="134"/>
      <c r="G120" s="144">
        <f>(18/29)*(I117/($L$10-I117))</f>
        <v>1.9389659866129092E-2</v>
      </c>
      <c r="H120" s="152"/>
      <c r="I120" s="143"/>
      <c r="J120" s="134"/>
      <c r="K120" s="138" t="s">
        <v>29</v>
      </c>
      <c r="L120" s="139"/>
    </row>
    <row r="121" spans="2:32" x14ac:dyDescent="0.3">
      <c r="B121" s="145" t="s">
        <v>30</v>
      </c>
      <c r="C121" s="146"/>
      <c r="D121" s="146"/>
      <c r="E121" s="146"/>
      <c r="F121" s="147" t="s">
        <v>31</v>
      </c>
      <c r="G121" s="147"/>
      <c r="H121" s="147"/>
      <c r="I121" s="148">
        <f>I115/I116%</f>
        <v>13.615873397366949</v>
      </c>
      <c r="J121" s="146" t="s">
        <v>32</v>
      </c>
      <c r="K121" s="149" t="s">
        <v>33</v>
      </c>
      <c r="L121" s="150"/>
    </row>
    <row r="123" spans="2:32" x14ac:dyDescent="0.3">
      <c r="B123" s="329" t="s">
        <v>229</v>
      </c>
    </row>
    <row r="127" spans="2:32" x14ac:dyDescent="0.3">
      <c r="B127" s="7" t="s">
        <v>144</v>
      </c>
    </row>
    <row r="128" spans="2:32" x14ac:dyDescent="0.3">
      <c r="B128" s="52">
        <v>0.61254696415752785</v>
      </c>
      <c r="C128" t="s">
        <v>145</v>
      </c>
    </row>
    <row r="129" spans="2:7" x14ac:dyDescent="0.3">
      <c r="B129" s="242">
        <f>18.016/28.966</f>
        <v>0.62197058620451551</v>
      </c>
      <c r="C129" s="290" t="s">
        <v>146</v>
      </c>
    </row>
    <row r="132" spans="2:7" x14ac:dyDescent="0.3">
      <c r="B132" s="359"/>
      <c r="C132" s="289"/>
      <c r="D132" s="289"/>
      <c r="E132" s="289"/>
      <c r="F132" s="289"/>
      <c r="G132" s="319"/>
    </row>
    <row r="133" spans="2:7" ht="18" x14ac:dyDescent="0.3">
      <c r="B133" s="366" t="s">
        <v>291</v>
      </c>
      <c r="G133" s="321"/>
    </row>
    <row r="134" spans="2:7" ht="15.6" x14ac:dyDescent="0.3">
      <c r="B134" s="366"/>
      <c r="G134" s="321"/>
    </row>
    <row r="135" spans="2:7" ht="15.6" x14ac:dyDescent="0.3">
      <c r="B135" s="320" t="s">
        <v>290</v>
      </c>
      <c r="C135" s="315"/>
      <c r="D135" s="315"/>
      <c r="E135" s="315"/>
      <c r="F135" s="315"/>
      <c r="G135" s="360"/>
    </row>
    <row r="136" spans="2:7" ht="15.6" x14ac:dyDescent="0.3">
      <c r="B136" s="320" t="s">
        <v>242</v>
      </c>
      <c r="C136" s="315"/>
      <c r="D136" s="315"/>
      <c r="E136" s="315"/>
      <c r="F136" s="315"/>
      <c r="G136" s="360"/>
    </row>
    <row r="137" spans="2:7" ht="15.6" x14ac:dyDescent="0.3">
      <c r="B137" s="320" t="s">
        <v>236</v>
      </c>
      <c r="C137" s="315"/>
      <c r="D137" s="315"/>
      <c r="E137" s="315"/>
      <c r="F137" s="315"/>
      <c r="G137" s="360"/>
    </row>
    <row r="138" spans="2:7" ht="18" x14ac:dyDescent="0.3">
      <c r="B138" s="320" t="s">
        <v>248</v>
      </c>
      <c r="C138" s="315"/>
      <c r="D138" s="315"/>
      <c r="E138" s="315"/>
      <c r="F138" s="315"/>
      <c r="G138" s="360"/>
    </row>
    <row r="139" spans="2:7" ht="15.6" x14ac:dyDescent="0.3">
      <c r="B139" s="348"/>
      <c r="C139" s="315"/>
      <c r="D139" s="315"/>
      <c r="E139" s="315"/>
      <c r="F139" s="315"/>
      <c r="G139" s="360"/>
    </row>
    <row r="140" spans="2:7" ht="15.6" x14ac:dyDescent="0.3">
      <c r="B140" s="353" t="s">
        <v>237</v>
      </c>
      <c r="C140" s="355">
        <f>-530.66*((G28/100)^3)+652.06*((G28/100)^2)-366.33*(G28/100)+99.458</f>
        <v>50.611429394724468</v>
      </c>
      <c r="D140" s="361" t="s">
        <v>202</v>
      </c>
      <c r="E140" s="355">
        <f>C27-C140-((C27-G81)/2)</f>
        <v>9.9999830885682002</v>
      </c>
      <c r="F140" s="350" t="str">
        <f>IF(E140&gt;25,"Very Sticky !!!","")</f>
        <v/>
      </c>
      <c r="G140" s="360"/>
    </row>
    <row r="141" spans="2:7" ht="15.6" x14ac:dyDescent="0.3">
      <c r="B141" s="353" t="s">
        <v>238</v>
      </c>
      <c r="C141" s="355">
        <f>-530.66*((G44/100)^3)+652.06*((G44/100)^2)-366.33*(G44/100)+99.458</f>
        <v>64.572173054854034</v>
      </c>
      <c r="D141" s="361" t="s">
        <v>202</v>
      </c>
      <c r="E141" s="355">
        <f>J9-C141</f>
        <v>-37.572173054854034</v>
      </c>
      <c r="F141" s="350" t="str">
        <f>IF(E141&gt;25,"Very Sticky !!!","")</f>
        <v/>
      </c>
      <c r="G141" s="360"/>
    </row>
    <row r="142" spans="2:7" ht="15.6" x14ac:dyDescent="0.3">
      <c r="B142" s="349"/>
      <c r="C142" s="362"/>
      <c r="D142" s="363"/>
      <c r="E142" s="363"/>
      <c r="F142" s="350"/>
      <c r="G142" s="360"/>
    </row>
    <row r="143" spans="2:7" ht="15.6" x14ac:dyDescent="0.3">
      <c r="B143" s="351"/>
      <c r="C143" s="364" t="s">
        <v>247</v>
      </c>
      <c r="D143" s="362" t="s">
        <v>249</v>
      </c>
      <c r="E143" s="315"/>
      <c r="F143" s="315"/>
      <c r="G143" s="360"/>
    </row>
    <row r="144" spans="2:7" ht="15.6" x14ac:dyDescent="0.3">
      <c r="B144" s="351"/>
      <c r="C144" s="365" t="s">
        <v>250</v>
      </c>
      <c r="D144" s="362" t="s">
        <v>253</v>
      </c>
      <c r="E144" s="315"/>
      <c r="F144" s="315"/>
      <c r="G144" s="360"/>
    </row>
    <row r="145" spans="2:7" ht="15.6" x14ac:dyDescent="0.3">
      <c r="B145" s="351"/>
      <c r="C145" s="365" t="s">
        <v>251</v>
      </c>
      <c r="D145" s="362" t="s">
        <v>254</v>
      </c>
      <c r="E145" s="315"/>
      <c r="F145" s="315"/>
      <c r="G145" s="360"/>
    </row>
    <row r="146" spans="2:7" ht="15.6" x14ac:dyDescent="0.3">
      <c r="B146" s="351"/>
      <c r="C146" s="365" t="s">
        <v>240</v>
      </c>
      <c r="D146" s="362" t="s">
        <v>252</v>
      </c>
      <c r="E146" s="315"/>
      <c r="F146" s="315"/>
      <c r="G146" s="360"/>
    </row>
    <row r="147" spans="2:7" ht="15.6" x14ac:dyDescent="0.3">
      <c r="B147" s="351"/>
      <c r="C147" s="365" t="s">
        <v>255</v>
      </c>
      <c r="D147" s="362" t="s">
        <v>256</v>
      </c>
      <c r="E147" s="315"/>
      <c r="F147" s="315"/>
      <c r="G147" s="360"/>
    </row>
    <row r="148" spans="2:7" ht="15.6" x14ac:dyDescent="0.3">
      <c r="B148" s="348"/>
      <c r="C148" s="315"/>
      <c r="D148" s="315"/>
      <c r="E148" s="315"/>
      <c r="F148" s="315"/>
      <c r="G148" s="360"/>
    </row>
    <row r="149" spans="2:7" ht="15.6" x14ac:dyDescent="0.3">
      <c r="B149" s="346" t="s">
        <v>244</v>
      </c>
      <c r="C149" s="315"/>
      <c r="D149" s="315"/>
      <c r="E149" s="315"/>
      <c r="F149" s="315"/>
      <c r="G149" s="360"/>
    </row>
    <row r="150" spans="2:7" ht="15.6" x14ac:dyDescent="0.3">
      <c r="B150" s="346" t="s">
        <v>204</v>
      </c>
      <c r="C150" s="315"/>
      <c r="D150" s="315"/>
      <c r="E150" s="315"/>
      <c r="F150" s="315"/>
      <c r="G150" s="360"/>
    </row>
    <row r="151" spans="2:7" ht="15.6" x14ac:dyDescent="0.3">
      <c r="B151" s="346" t="s">
        <v>205</v>
      </c>
      <c r="C151" s="315"/>
      <c r="D151" s="315"/>
      <c r="E151" s="315"/>
      <c r="F151" s="315"/>
      <c r="G151" s="360"/>
    </row>
    <row r="152" spans="2:7" ht="15.6" x14ac:dyDescent="0.3">
      <c r="B152" s="346" t="s">
        <v>241</v>
      </c>
      <c r="C152" s="315"/>
      <c r="D152" s="315"/>
      <c r="E152" s="315"/>
      <c r="F152" s="315"/>
      <c r="G152" s="360"/>
    </row>
    <row r="153" spans="2:7" ht="15.6" x14ac:dyDescent="0.3">
      <c r="B153" s="346" t="s">
        <v>288</v>
      </c>
      <c r="C153" s="315"/>
      <c r="D153" s="315"/>
      <c r="E153" s="315"/>
      <c r="F153" s="315"/>
      <c r="G153" s="360"/>
    </row>
    <row r="154" spans="2:7" ht="15.6" x14ac:dyDescent="0.3">
      <c r="B154" s="346"/>
      <c r="C154" s="315"/>
      <c r="D154" s="315"/>
      <c r="E154" s="315"/>
      <c r="F154" s="315"/>
      <c r="G154" s="360"/>
    </row>
    <row r="155" spans="2:7" ht="15.6" x14ac:dyDescent="0.3">
      <c r="B155" s="346" t="s">
        <v>206</v>
      </c>
      <c r="C155" s="315"/>
      <c r="D155" s="356">
        <f>C27-((C27-G81)/2)</f>
        <v>60.611412483292668</v>
      </c>
      <c r="E155" s="362"/>
      <c r="F155" s="315"/>
      <c r="G155" s="360"/>
    </row>
    <row r="156" spans="2:7" ht="15.6" x14ac:dyDescent="0.3">
      <c r="B156" s="346" t="s">
        <v>213</v>
      </c>
      <c r="C156" s="315"/>
      <c r="D156" s="356">
        <f>J9</f>
        <v>27</v>
      </c>
      <c r="E156" s="315"/>
      <c r="F156" s="315"/>
      <c r="G156" s="360"/>
    </row>
    <row r="157" spans="2:7" x14ac:dyDescent="0.3">
      <c r="B157" s="357"/>
      <c r="C157" s="358"/>
      <c r="D157" s="358"/>
      <c r="E157" s="358"/>
      <c r="F157" s="358"/>
      <c r="G157" s="322"/>
    </row>
  </sheetData>
  <conditionalFormatting sqref="E140:E141">
    <cfRule type="cellIs" dxfId="6" priority="1" operator="greaterThan">
      <formula>10</formula>
    </cfRule>
    <cfRule type="cellIs" dxfId="5" priority="2" operator="lessThan">
      <formula>10</formula>
    </cfRule>
    <cfRule type="cellIs" dxfId="4" priority="3" operator="greaterThan">
      <formula>25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55" orientation="landscape" r:id="rId1"/>
  <rowBreaks count="2" manualBreakCount="2">
    <brk id="57" max="16383" man="1"/>
    <brk id="94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E9B1F-AA0A-45F9-B00C-C35C12691C67}">
  <sheetPr>
    <tabColor theme="5"/>
  </sheetPr>
  <dimension ref="B1:AC175"/>
  <sheetViews>
    <sheetView showGridLines="0" topLeftCell="B1" zoomScale="80" zoomScaleNormal="80" workbookViewId="0">
      <selection activeCell="H28" sqref="H28"/>
    </sheetView>
  </sheetViews>
  <sheetFormatPr baseColWidth="10" defaultRowHeight="14.4" x14ac:dyDescent="0.3"/>
  <cols>
    <col min="1" max="1" width="2.77734375" customWidth="1"/>
    <col min="2" max="2" width="43.77734375" customWidth="1"/>
    <col min="3" max="3" width="24.77734375" customWidth="1"/>
    <col min="4" max="6" width="17.21875" customWidth="1"/>
    <col min="7" max="7" width="18.5546875" customWidth="1"/>
    <col min="8" max="12" width="17.21875" customWidth="1"/>
    <col min="13" max="13" width="5" customWidth="1"/>
    <col min="14" max="14" width="31.109375" customWidth="1"/>
    <col min="15" max="15" width="9.44140625" customWidth="1"/>
    <col min="19" max="19" width="22.33203125" customWidth="1"/>
    <col min="20" max="20" width="29.21875" bestFit="1" customWidth="1"/>
    <col min="25" max="27" width="18.88671875" customWidth="1"/>
  </cols>
  <sheetData>
    <row r="1" spans="2:26" ht="28.2" x14ac:dyDescent="0.3">
      <c r="B1" s="411" t="s">
        <v>279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2:26" ht="21" x14ac:dyDescent="0.4">
      <c r="B2" s="412" t="s">
        <v>272</v>
      </c>
      <c r="C2" s="2"/>
      <c r="D2" s="2"/>
      <c r="E2" s="2"/>
      <c r="F2" s="2"/>
      <c r="G2" s="2"/>
      <c r="H2" s="2"/>
      <c r="I2" s="2"/>
      <c r="J2" s="2"/>
      <c r="K2" s="2"/>
      <c r="L2" s="264"/>
      <c r="T2" s="184" t="s">
        <v>127</v>
      </c>
    </row>
    <row r="3" spans="2:26" ht="15" customHeight="1" x14ac:dyDescent="0.3">
      <c r="B3" s="53" t="s">
        <v>34</v>
      </c>
      <c r="C3" s="54" t="s">
        <v>56</v>
      </c>
      <c r="D3" s="55"/>
      <c r="E3" s="55"/>
      <c r="F3" s="55"/>
      <c r="G3" s="226" t="s">
        <v>140</v>
      </c>
      <c r="H3" s="224">
        <v>7000</v>
      </c>
      <c r="I3" s="225" t="s">
        <v>35</v>
      </c>
      <c r="J3" s="57">
        <f>H3/E5</f>
        <v>5384.6153846153848</v>
      </c>
      <c r="K3" s="56" t="s">
        <v>36</v>
      </c>
      <c r="L3" s="58"/>
      <c r="N3" s="228" t="s">
        <v>94</v>
      </c>
    </row>
    <row r="4" spans="2:26" ht="15" customHeight="1" x14ac:dyDescent="0.3">
      <c r="B4" s="249" t="s">
        <v>115</v>
      </c>
      <c r="C4" s="63">
        <f>O5</f>
        <v>60</v>
      </c>
      <c r="D4" s="59"/>
      <c r="E4" s="59"/>
      <c r="F4" s="59"/>
      <c r="G4" s="227" t="s">
        <v>115</v>
      </c>
      <c r="H4" s="61">
        <f>H3*C4%</f>
        <v>4200</v>
      </c>
      <c r="I4" s="50" t="s">
        <v>35</v>
      </c>
      <c r="J4" s="61"/>
      <c r="K4" s="50"/>
      <c r="L4" s="241"/>
      <c r="N4" s="228"/>
      <c r="T4" s="185" t="s">
        <v>62</v>
      </c>
      <c r="U4" s="267">
        <f>D172</f>
        <v>58.020232271644083</v>
      </c>
      <c r="Y4" t="s">
        <v>63</v>
      </c>
    </row>
    <row r="5" spans="2:26" ht="15" customHeight="1" x14ac:dyDescent="0.3">
      <c r="B5" s="49" t="s">
        <v>259</v>
      </c>
      <c r="C5" s="63">
        <f>$O$5+(($O$5*$O$6%)*$O$7%)*$O$9%</f>
        <v>61.694304000000002</v>
      </c>
      <c r="D5" s="227" t="s">
        <v>104</v>
      </c>
      <c r="E5" s="272">
        <v>1.3</v>
      </c>
      <c r="F5" s="59"/>
      <c r="G5" s="227" t="s">
        <v>259</v>
      </c>
      <c r="H5" s="60">
        <f>H3*C5%</f>
        <v>4318.6012799999999</v>
      </c>
      <c r="I5" s="50" t="s">
        <v>35</v>
      </c>
      <c r="J5" s="61"/>
      <c r="K5" s="50"/>
      <c r="L5" s="62"/>
      <c r="N5" s="234" t="s">
        <v>92</v>
      </c>
      <c r="O5" s="229">
        <v>60</v>
      </c>
    </row>
    <row r="6" spans="2:26" ht="15" customHeight="1" x14ac:dyDescent="0.3">
      <c r="B6" s="49" t="s">
        <v>102</v>
      </c>
      <c r="C6" s="63">
        <f>100-C7</f>
        <v>92</v>
      </c>
      <c r="D6" s="50"/>
      <c r="E6" s="50"/>
      <c r="F6" s="59"/>
      <c r="G6" s="227" t="s">
        <v>105</v>
      </c>
      <c r="H6" s="60">
        <f>H5/C6%</f>
        <v>4694.1318260869566</v>
      </c>
      <c r="I6" s="50" t="s">
        <v>35</v>
      </c>
      <c r="J6" s="61"/>
      <c r="K6" s="50"/>
      <c r="L6" s="265" t="s">
        <v>126</v>
      </c>
      <c r="N6" s="234" t="s">
        <v>93</v>
      </c>
      <c r="O6" s="229">
        <v>74</v>
      </c>
      <c r="T6" s="185" t="s">
        <v>64</v>
      </c>
      <c r="U6" s="186">
        <v>12.5</v>
      </c>
      <c r="Y6" s="185" t="s">
        <v>65</v>
      </c>
      <c r="Z6" s="187">
        <f>2008.2+(1208.9/1000*U4)-(1312.9/1000000*U4*U4)</f>
        <v>2073.9209813536263</v>
      </c>
    </row>
    <row r="7" spans="2:26" ht="15" customHeight="1" x14ac:dyDescent="0.3">
      <c r="B7" s="49" t="s">
        <v>103</v>
      </c>
      <c r="C7" s="238">
        <v>8</v>
      </c>
      <c r="D7" s="50" t="s">
        <v>201</v>
      </c>
      <c r="E7" s="50"/>
      <c r="F7" s="246"/>
      <c r="G7" s="247" t="s">
        <v>106</v>
      </c>
      <c r="H7" s="244">
        <f>H3-H6</f>
        <v>2305.8681739130434</v>
      </c>
      <c r="I7" s="248" t="s">
        <v>35</v>
      </c>
      <c r="J7" s="61"/>
      <c r="K7" s="50"/>
      <c r="L7" s="266">
        <v>45536</v>
      </c>
      <c r="N7" s="234" t="s">
        <v>100</v>
      </c>
      <c r="O7" s="229">
        <v>72</v>
      </c>
      <c r="T7" s="185" t="s">
        <v>66</v>
      </c>
      <c r="U7" s="186">
        <v>1</v>
      </c>
      <c r="Y7" s="185" t="s">
        <v>67</v>
      </c>
      <c r="Z7" s="187">
        <f>1984.2+(1473.3/1000*U4)-(4800.8/1000000*U4*U4)</f>
        <v>2053.5200478342244</v>
      </c>
    </row>
    <row r="8" spans="2:26" ht="15" customHeight="1" x14ac:dyDescent="0.3">
      <c r="B8" s="49" t="s">
        <v>114</v>
      </c>
      <c r="C8" s="63">
        <f>$O$5+(($O$5*$O$6%)*$O$8%)*$O$9%</f>
        <v>62.11788</v>
      </c>
      <c r="D8" s="50"/>
      <c r="E8" s="50"/>
      <c r="F8" s="59"/>
      <c r="G8" s="227" t="s">
        <v>114</v>
      </c>
      <c r="H8" s="60">
        <f>H3*C8%</f>
        <v>4348.2516000000005</v>
      </c>
      <c r="I8" s="50" t="s">
        <v>35</v>
      </c>
      <c r="J8" s="63">
        <f>(H6-H8)/(H8+(H6-H8))%</f>
        <v>7.3683534868956366</v>
      </c>
      <c r="K8" s="50" t="s">
        <v>154</v>
      </c>
      <c r="L8" s="62"/>
      <c r="N8" s="234" t="s">
        <v>101</v>
      </c>
      <c r="O8" s="229">
        <v>90</v>
      </c>
      <c r="T8" s="185" t="s">
        <v>68</v>
      </c>
      <c r="U8" s="186">
        <v>74</v>
      </c>
      <c r="Y8" s="185" t="s">
        <v>69</v>
      </c>
      <c r="Z8" s="187">
        <f>1548.8+(1962.5/1000*U4)-(5939.9/1000000*U4*U4)</f>
        <v>1642.6689391918749</v>
      </c>
    </row>
    <row r="9" spans="2:26" ht="15" customHeight="1" x14ac:dyDescent="0.3">
      <c r="B9" s="49" t="s">
        <v>261</v>
      </c>
      <c r="C9" s="63">
        <f>100-C10</f>
        <v>98.7</v>
      </c>
      <c r="D9" s="59"/>
      <c r="E9" s="59"/>
      <c r="F9" s="59"/>
      <c r="G9" s="275" t="s">
        <v>108</v>
      </c>
      <c r="H9" s="276">
        <f>H8/C9%</f>
        <v>4405.5234042553193</v>
      </c>
      <c r="I9" s="277" t="s">
        <v>111</v>
      </c>
      <c r="J9" s="240">
        <v>28</v>
      </c>
      <c r="K9" s="50"/>
      <c r="L9" s="62"/>
      <c r="N9" s="234" t="s">
        <v>95</v>
      </c>
      <c r="O9" s="229">
        <v>5.3</v>
      </c>
      <c r="T9" s="185" t="s">
        <v>70</v>
      </c>
      <c r="U9" s="186">
        <v>0</v>
      </c>
      <c r="Y9" s="185" t="s">
        <v>71</v>
      </c>
      <c r="Z9" s="187">
        <f>1845.9+(1930.6/1000*U4)-(4650.9/1000000*U4*U4)</f>
        <v>1942.2573155202404</v>
      </c>
    </row>
    <row r="10" spans="2:26" ht="15" customHeight="1" x14ac:dyDescent="0.3">
      <c r="B10" s="64" t="s">
        <v>84</v>
      </c>
      <c r="C10" s="65">
        <v>1.3</v>
      </c>
      <c r="D10" s="280" t="s">
        <v>139</v>
      </c>
      <c r="E10" s="59"/>
      <c r="F10" s="66"/>
      <c r="G10" s="243" t="s">
        <v>109</v>
      </c>
      <c r="H10" s="244">
        <f>H6-H9</f>
        <v>288.60842183163732</v>
      </c>
      <c r="I10" s="245" t="s">
        <v>107</v>
      </c>
      <c r="J10" s="239"/>
      <c r="K10" s="67" t="s">
        <v>37</v>
      </c>
      <c r="L10" s="68">
        <v>101325</v>
      </c>
      <c r="N10" s="235" t="s">
        <v>99</v>
      </c>
      <c r="T10" s="185" t="s">
        <v>72</v>
      </c>
      <c r="U10" s="186">
        <v>7.5</v>
      </c>
      <c r="Y10" s="185" t="s">
        <v>73</v>
      </c>
      <c r="Z10" s="187">
        <f>1092.6+(1889.6/1000*U4)-(3681.7/1000000*U4*U4)</f>
        <v>1189.8411498514902</v>
      </c>
    </row>
    <row r="11" spans="2:26" x14ac:dyDescent="0.3">
      <c r="B11" s="69"/>
      <c r="C11" s="69"/>
      <c r="D11" s="70"/>
      <c r="E11" s="71"/>
      <c r="F11" s="69"/>
      <c r="G11" s="70"/>
      <c r="H11" s="71"/>
      <c r="I11" s="70"/>
      <c r="J11" s="72"/>
      <c r="K11" s="72"/>
      <c r="L11" s="71"/>
      <c r="N11" s="234" t="s">
        <v>96</v>
      </c>
      <c r="O11" s="236">
        <f>H3-H9</f>
        <v>2594.4765957446807</v>
      </c>
      <c r="T11" s="185" t="s">
        <v>74</v>
      </c>
      <c r="U11" s="186">
        <v>1.5</v>
      </c>
      <c r="Y11" s="185" t="s">
        <v>75</v>
      </c>
      <c r="Z11" s="187">
        <f>4176.2-(9.0864/100000*U4)+(5473.1/1000000*U4*U4)</f>
        <v>4194.6190837465274</v>
      </c>
    </row>
    <row r="12" spans="2:26" ht="15.6" x14ac:dyDescent="0.3">
      <c r="B12" s="73" t="s">
        <v>1</v>
      </c>
      <c r="C12" s="74" t="s">
        <v>2</v>
      </c>
      <c r="D12" s="75" t="s">
        <v>3</v>
      </c>
      <c r="E12" s="76"/>
      <c r="F12" s="74" t="s">
        <v>4</v>
      </c>
      <c r="G12" s="77" t="s">
        <v>5</v>
      </c>
      <c r="H12" s="78"/>
      <c r="I12" s="77" t="s">
        <v>6</v>
      </c>
      <c r="J12" s="79"/>
      <c r="K12" s="79"/>
      <c r="L12" s="78"/>
      <c r="N12" s="234" t="s">
        <v>97</v>
      </c>
      <c r="O12" s="236">
        <f>H24+H40+H48</f>
        <v>2594.4765957446807</v>
      </c>
      <c r="P12" s="1" t="b">
        <f>O11=O12</f>
        <v>1</v>
      </c>
    </row>
    <row r="13" spans="2:26" x14ac:dyDescent="0.3">
      <c r="B13" s="80"/>
      <c r="C13" s="74"/>
      <c r="D13" s="75"/>
      <c r="E13" s="76"/>
      <c r="F13" s="80"/>
      <c r="G13" s="81" t="s">
        <v>7</v>
      </c>
      <c r="H13" s="76"/>
      <c r="I13" s="75"/>
      <c r="J13" s="82"/>
      <c r="K13" s="82"/>
      <c r="L13" s="76"/>
      <c r="N13" s="234" t="s">
        <v>98</v>
      </c>
      <c r="O13" s="236">
        <f>H3-H6</f>
        <v>2305.8681739130434</v>
      </c>
      <c r="Y13" s="188" t="s">
        <v>76</v>
      </c>
      <c r="Z13" s="189"/>
    </row>
    <row r="14" spans="2:26" x14ac:dyDescent="0.3">
      <c r="B14" s="83"/>
      <c r="C14" s="84"/>
      <c r="D14" s="75" t="s">
        <v>8</v>
      </c>
      <c r="E14" s="76" t="s">
        <v>9</v>
      </c>
      <c r="F14" s="74" t="s">
        <v>10</v>
      </c>
      <c r="G14" s="75" t="s">
        <v>11</v>
      </c>
      <c r="H14" s="76" t="s">
        <v>9</v>
      </c>
      <c r="I14" s="75" t="s">
        <v>12</v>
      </c>
      <c r="J14" s="82" t="s">
        <v>13</v>
      </c>
      <c r="K14" s="82" t="s">
        <v>14</v>
      </c>
      <c r="L14" s="76" t="s">
        <v>15</v>
      </c>
      <c r="Y14" s="190" t="s">
        <v>77</v>
      </c>
      <c r="Z14" s="191"/>
    </row>
    <row r="15" spans="2:26" x14ac:dyDescent="0.3">
      <c r="B15" s="83"/>
      <c r="C15" s="84"/>
      <c r="D15" s="86" t="s">
        <v>38</v>
      </c>
      <c r="E15" s="87" t="s">
        <v>16</v>
      </c>
      <c r="F15" s="85"/>
      <c r="G15" s="88"/>
      <c r="H15" s="87" t="s">
        <v>17</v>
      </c>
      <c r="I15" s="75"/>
      <c r="J15" s="82"/>
      <c r="K15" s="82"/>
      <c r="L15" s="76"/>
      <c r="N15" s="125"/>
      <c r="T15" s="192" t="s">
        <v>78</v>
      </c>
      <c r="U15" s="193">
        <f>Z6*U6/100 +Z7*U7/100+Z8*U8/100+Z9*U9/100+Z10*U10/100+Z11*U11/100</f>
        <v>1647.5077106445926</v>
      </c>
      <c r="V15" s="192" t="s">
        <v>79</v>
      </c>
    </row>
    <row r="16" spans="2:26" x14ac:dyDescent="0.3">
      <c r="B16" s="83"/>
      <c r="C16" s="85"/>
      <c r="D16" s="86"/>
      <c r="E16" s="87"/>
      <c r="F16" s="85"/>
      <c r="G16" s="88"/>
      <c r="H16" s="87"/>
      <c r="I16" s="88"/>
      <c r="J16" s="89"/>
      <c r="K16" s="89"/>
      <c r="L16" s="90"/>
      <c r="T16" s="192" t="s">
        <v>78</v>
      </c>
      <c r="U16" s="193">
        <f>U15/4.1855</f>
        <v>393.62267605891589</v>
      </c>
      <c r="V16" s="192" t="s">
        <v>80</v>
      </c>
    </row>
    <row r="17" spans="2:26" ht="22.2" customHeight="1" x14ac:dyDescent="0.3">
      <c r="B17" s="391" t="s">
        <v>268</v>
      </c>
      <c r="C17" s="392"/>
      <c r="D17" s="393"/>
      <c r="E17" s="394"/>
      <c r="F17" s="392"/>
      <c r="G17" s="395"/>
      <c r="H17" s="394"/>
      <c r="I17" s="390"/>
      <c r="J17" s="390"/>
      <c r="K17" s="390"/>
      <c r="L17" s="390"/>
      <c r="N17" s="408" t="s">
        <v>264</v>
      </c>
    </row>
    <row r="18" spans="2:26" ht="21" x14ac:dyDescent="0.4">
      <c r="B18" s="369"/>
      <c r="C18" s="85"/>
      <c r="D18" s="89"/>
      <c r="E18" s="370"/>
      <c r="F18" s="85"/>
      <c r="G18" s="89"/>
      <c r="H18" s="87"/>
      <c r="I18" s="88"/>
      <c r="J18" s="89"/>
      <c r="K18" s="89"/>
      <c r="L18" s="90"/>
      <c r="M18" s="237"/>
      <c r="N18" s="409" t="s">
        <v>265</v>
      </c>
      <c r="T18" s="184" t="s">
        <v>128</v>
      </c>
    </row>
    <row r="19" spans="2:26" ht="16.2" customHeight="1" x14ac:dyDescent="0.3">
      <c r="B19" s="3" t="s">
        <v>39</v>
      </c>
      <c r="C19" s="94">
        <v>23.5</v>
      </c>
      <c r="D19" s="337">
        <f>((22.41/273)*(C19+273))*((1/29)+((1/18)*G19))</f>
        <v>0.85144766862447907</v>
      </c>
      <c r="E19" s="333">
        <v>46436.235873818994</v>
      </c>
      <c r="F19" s="332">
        <f>E19/D19</f>
        <v>54537.979942839149</v>
      </c>
      <c r="G19" s="334">
        <v>8.9999999999999993E-3</v>
      </c>
      <c r="H19" s="95">
        <f>F19*G19</f>
        <v>490.84181948555232</v>
      </c>
      <c r="I19" s="96">
        <f>(((1.005+(1.88*G19))*C19)+(2487*G19))</f>
        <v>46.398119999999999</v>
      </c>
      <c r="J19" s="97">
        <f>I19/4.1855</f>
        <v>11.085442599450483</v>
      </c>
      <c r="K19" s="5">
        <f>I19*F19</f>
        <v>2530459.737945444</v>
      </c>
      <c r="L19" s="6">
        <f>K19/4.1855</f>
        <v>604577.64614632516</v>
      </c>
      <c r="N19" s="410" t="s">
        <v>266</v>
      </c>
    </row>
    <row r="20" spans="2:26" ht="16.2" customHeight="1" x14ac:dyDescent="0.3">
      <c r="B20" s="8"/>
      <c r="C20" s="9"/>
      <c r="D20" s="98">
        <f>1/D19</f>
        <v>1.1744703014050275</v>
      </c>
      <c r="E20" s="10"/>
      <c r="F20" s="9"/>
      <c r="G20" s="11"/>
      <c r="H20" s="10"/>
      <c r="I20" s="99"/>
      <c r="J20" s="100"/>
      <c r="K20" s="12"/>
      <c r="L20" s="13"/>
      <c r="N20" s="410" t="s">
        <v>267</v>
      </c>
      <c r="T20" s="185" t="s">
        <v>62</v>
      </c>
      <c r="U20" s="268">
        <f>'Simul 1'!J9</f>
        <v>28</v>
      </c>
      <c r="Y20" t="s">
        <v>63</v>
      </c>
    </row>
    <row r="21" spans="2:26" ht="16.2" customHeight="1" x14ac:dyDescent="0.3">
      <c r="B21" s="14"/>
      <c r="C21" s="15"/>
      <c r="D21" s="16"/>
      <c r="E21" s="16"/>
      <c r="F21" s="15"/>
      <c r="G21" s="16"/>
      <c r="H21" s="16"/>
      <c r="I21" s="101"/>
      <c r="J21" s="102"/>
      <c r="K21" s="17"/>
      <c r="L21" s="18"/>
    </row>
    <row r="22" spans="2:26" x14ac:dyDescent="0.3">
      <c r="B22" s="19" t="s">
        <v>58</v>
      </c>
      <c r="C22" s="103">
        <v>180</v>
      </c>
      <c r="D22" s="337">
        <f>((22.41/273)*(C22+273))*((1/29)+((1/18)*G22))</f>
        <v>1.3008627112542632</v>
      </c>
      <c r="E22" s="332">
        <f>D22*F22</f>
        <v>70946.424454772365</v>
      </c>
      <c r="F22" s="104">
        <f>F19</f>
        <v>54537.979942839149</v>
      </c>
      <c r="G22" s="11">
        <f>H22/F22</f>
        <v>8.9999999999999993E-3</v>
      </c>
      <c r="H22" s="105">
        <f>H19</f>
        <v>490.84181948555232</v>
      </c>
      <c r="I22" s="96">
        <f>(((1.005+(1.88*$G$22))*$C$22)+(2487*$G$22))</f>
        <v>206.32859999999999</v>
      </c>
      <c r="J22" s="97">
        <f>I22/4.1855</f>
        <v>49.29604587265559</v>
      </c>
      <c r="K22" s="20">
        <f>F22*I22</f>
        <v>11252745.048434081</v>
      </c>
      <c r="L22" s="6">
        <f>K22/4.1855</f>
        <v>2688506.761064169</v>
      </c>
      <c r="T22" s="185" t="s">
        <v>64</v>
      </c>
      <c r="U22" s="214">
        <f t="shared" ref="U22:U27" si="0">U6</f>
        <v>12.5</v>
      </c>
      <c r="Y22" s="185" t="s">
        <v>65</v>
      </c>
      <c r="Z22" s="187">
        <f>2008.2+(1208.9/1000*U20)-(1312.9/1000000*U20*U20)</f>
        <v>2041.0198864000001</v>
      </c>
    </row>
    <row r="23" spans="2:26" x14ac:dyDescent="0.3">
      <c r="B23" s="19"/>
      <c r="C23" s="106"/>
      <c r="D23" s="98">
        <f>1/D22</f>
        <v>0.76872062774081829</v>
      </c>
      <c r="E23" s="20"/>
      <c r="F23" s="104"/>
      <c r="G23" s="11"/>
      <c r="H23" s="105"/>
      <c r="I23" s="96"/>
      <c r="J23" s="97"/>
      <c r="K23" s="20"/>
      <c r="L23" s="6"/>
      <c r="Q23" s="2"/>
      <c r="T23" s="185" t="s">
        <v>66</v>
      </c>
      <c r="U23" s="214">
        <f t="shared" si="0"/>
        <v>1</v>
      </c>
      <c r="Y23" s="185" t="s">
        <v>67</v>
      </c>
      <c r="Z23" s="187">
        <f>1984.2+(1473.3/1000*U20)-(4800.8/1000000*U20*U20)</f>
        <v>2021.6885728000002</v>
      </c>
    </row>
    <row r="24" spans="2:26" x14ac:dyDescent="0.3">
      <c r="B24" s="107" t="s">
        <v>40</v>
      </c>
      <c r="C24" s="106"/>
      <c r="D24" s="108"/>
      <c r="E24" s="109"/>
      <c r="F24" s="110"/>
      <c r="G24" s="111"/>
      <c r="H24" s="195">
        <f>H3-H6</f>
        <v>2305.8681739130434</v>
      </c>
      <c r="I24" s="112"/>
      <c r="J24" s="97"/>
      <c r="K24" s="20"/>
      <c r="L24" s="6"/>
      <c r="T24" s="185" t="s">
        <v>68</v>
      </c>
      <c r="U24" s="214">
        <f t="shared" si="0"/>
        <v>74</v>
      </c>
      <c r="Y24" s="185" t="s">
        <v>69</v>
      </c>
      <c r="Z24" s="187">
        <f>1548.8+(1962.5/1000*U20)-(5939.9/1000000*U20*U20)</f>
        <v>1599.0931184000001</v>
      </c>
    </row>
    <row r="25" spans="2:26" x14ac:dyDescent="0.3">
      <c r="B25" s="21"/>
      <c r="C25" s="374" t="s">
        <v>281</v>
      </c>
      <c r="D25" s="4"/>
      <c r="E25" s="20"/>
      <c r="F25" s="23"/>
      <c r="G25" s="24"/>
      <c r="H25" s="6"/>
      <c r="I25" s="112"/>
      <c r="J25" s="97"/>
      <c r="K25" s="20"/>
      <c r="L25" s="6"/>
      <c r="Q25" s="2"/>
      <c r="T25" s="185" t="s">
        <v>70</v>
      </c>
      <c r="U25" s="214">
        <f t="shared" si="0"/>
        <v>0</v>
      </c>
      <c r="Y25" s="185" t="s">
        <v>71</v>
      </c>
      <c r="Z25" s="187">
        <f>1845.9+(1930.6/1000*U20)-(4650.9/1000000*U20*U20)</f>
        <v>1896.3104944000002</v>
      </c>
    </row>
    <row r="26" spans="2:26" ht="18" customHeight="1" x14ac:dyDescent="0.3">
      <c r="B26" s="14"/>
      <c r="C26" s="25"/>
      <c r="D26" s="26"/>
      <c r="E26" s="27"/>
      <c r="F26" s="28"/>
      <c r="G26" s="29"/>
      <c r="H26" s="30"/>
      <c r="I26" s="101"/>
      <c r="J26" s="102"/>
      <c r="K26" s="200"/>
      <c r="L26" s="201"/>
      <c r="N26" s="327" t="s">
        <v>222</v>
      </c>
      <c r="O26" s="186"/>
      <c r="P26" s="186"/>
      <c r="Q26" s="328"/>
      <c r="R26" s="186"/>
      <c r="T26" s="185" t="s">
        <v>72</v>
      </c>
      <c r="U26" s="214">
        <f t="shared" si="0"/>
        <v>7.5</v>
      </c>
      <c r="Y26" s="185" t="s">
        <v>73</v>
      </c>
      <c r="Z26" s="187">
        <f>1092.6+(1889.6/1000*U20)-(3681.7/1000000*U20*U20)</f>
        <v>1142.6223471999999</v>
      </c>
    </row>
    <row r="27" spans="2:26" ht="18" customHeight="1" x14ac:dyDescent="0.3">
      <c r="B27" s="158" t="s">
        <v>83</v>
      </c>
      <c r="C27" s="33">
        <f>(I27-(2487*G27))/((1.005+(1.88*G27)))</f>
        <v>71.540464543288167</v>
      </c>
      <c r="D27" s="34">
        <f>((22.41/273)*(C27+273))*((1/29)+((1/18)*G27))</f>
        <v>1.0558363973946805</v>
      </c>
      <c r="E27" s="35">
        <f>D27*F27</f>
        <v>57583.184264030628</v>
      </c>
      <c r="F27" s="36">
        <f>F22</f>
        <v>54537.979942839149</v>
      </c>
      <c r="G27" s="37">
        <f>H27/F27</f>
        <v>5.128004367469801E-2</v>
      </c>
      <c r="H27" s="35">
        <f>SUM(H22:H25)</f>
        <v>2796.7099933985955</v>
      </c>
      <c r="I27" s="113">
        <f>I22</f>
        <v>206.32859999999999</v>
      </c>
      <c r="J27" s="114">
        <f>I27/4.1855</f>
        <v>49.29604587265559</v>
      </c>
      <c r="K27" s="196">
        <f>F27*I27</f>
        <v>11252745.048434081</v>
      </c>
      <c r="L27" s="197">
        <f>K27/4.1855</f>
        <v>2688506.761064169</v>
      </c>
      <c r="N27" s="327" t="s">
        <v>226</v>
      </c>
      <c r="O27" s="186"/>
      <c r="P27" s="186"/>
      <c r="Q27" s="186"/>
      <c r="R27" s="186"/>
      <c r="T27" s="185" t="s">
        <v>74</v>
      </c>
      <c r="U27" s="214">
        <f t="shared" si="0"/>
        <v>1.5</v>
      </c>
      <c r="Y27" s="185" t="s">
        <v>75</v>
      </c>
      <c r="Z27" s="187">
        <f>4176.2-(9.0864/100000*U20)+(5473.1/1000000*U20*U20)</f>
        <v>4180.4883662080001</v>
      </c>
    </row>
    <row r="28" spans="2:26" ht="18" customHeight="1" x14ac:dyDescent="0.3">
      <c r="B28" s="373" t="s">
        <v>163</v>
      </c>
      <c r="C28" s="374" t="s">
        <v>280</v>
      </c>
      <c r="D28" s="382">
        <f>1/D27</f>
        <v>0.947116430601882</v>
      </c>
      <c r="E28" s="375"/>
      <c r="F28" s="376"/>
      <c r="G28" s="300">
        <f>I93</f>
        <v>23.145992083753029</v>
      </c>
      <c r="H28" s="434" t="s">
        <v>300</v>
      </c>
      <c r="I28" s="378" t="s">
        <v>41</v>
      </c>
      <c r="J28" s="379"/>
      <c r="K28" s="380"/>
      <c r="L28" s="381"/>
      <c r="N28" s="327" t="s">
        <v>227</v>
      </c>
      <c r="O28" s="186"/>
      <c r="P28" s="186"/>
      <c r="Q28" s="328"/>
      <c r="R28" s="186"/>
    </row>
    <row r="29" spans="2:26" ht="22.2" customHeight="1" x14ac:dyDescent="0.3">
      <c r="B29" s="391" t="s">
        <v>262</v>
      </c>
      <c r="C29" s="396"/>
      <c r="D29" s="397"/>
      <c r="E29" s="398"/>
      <c r="F29" s="399"/>
      <c r="G29" s="400"/>
      <c r="H29" s="398"/>
      <c r="I29" s="386"/>
      <c r="J29" s="387"/>
      <c r="K29" s="388"/>
      <c r="L29" s="388"/>
      <c r="N29" s="407" t="s">
        <v>228</v>
      </c>
      <c r="O29" s="186"/>
      <c r="P29" s="186"/>
      <c r="Q29" s="186"/>
      <c r="R29" s="186"/>
      <c r="Y29" s="188" t="s">
        <v>76</v>
      </c>
      <c r="Z29" s="189"/>
    </row>
    <row r="30" spans="2:26" ht="19.05" customHeight="1" x14ac:dyDescent="0.3">
      <c r="B30" s="369"/>
      <c r="C30" s="85"/>
      <c r="D30" s="89"/>
      <c r="E30" s="370"/>
      <c r="F30" s="85"/>
      <c r="G30" s="89"/>
      <c r="H30" s="87"/>
      <c r="I30" s="88"/>
      <c r="J30" s="89"/>
      <c r="K30" s="371"/>
      <c r="L30" s="372"/>
      <c r="Y30" s="190" t="s">
        <v>77</v>
      </c>
      <c r="Z30" s="191"/>
    </row>
    <row r="31" spans="2:26" ht="19.05" customHeight="1" x14ac:dyDescent="0.3">
      <c r="B31" s="3" t="s">
        <v>82</v>
      </c>
      <c r="C31" s="302">
        <f>C62</f>
        <v>42.167380563900487</v>
      </c>
      <c r="D31" s="303">
        <f t="shared" ref="D31:L31" si="1">D62</f>
        <v>0.90932597184397945</v>
      </c>
      <c r="E31" s="105">
        <f t="shared" si="1"/>
        <v>45466.298592198975</v>
      </c>
      <c r="F31" s="104">
        <f t="shared" si="1"/>
        <v>50000</v>
      </c>
      <c r="G31" s="304">
        <f t="shared" si="1"/>
        <v>1.1972168436632746E-2</v>
      </c>
      <c r="H31" s="105">
        <f t="shared" si="1"/>
        <v>598.60842183163732</v>
      </c>
      <c r="I31" s="305">
        <f t="shared" si="1"/>
        <v>73.102090135993734</v>
      </c>
      <c r="J31" s="306">
        <f t="shared" si="1"/>
        <v>17.465557313581108</v>
      </c>
      <c r="K31" s="20">
        <f t="shared" si="1"/>
        <v>3655104.5067996867</v>
      </c>
      <c r="L31" s="6">
        <f t="shared" si="1"/>
        <v>873277.86567905545</v>
      </c>
      <c r="Q31" s="2"/>
      <c r="T31" s="192" t="s">
        <v>78</v>
      </c>
      <c r="U31" s="193">
        <f>Z22*U22/100 +Z23*U23/100+Z24*U24/100+Z25*U25/100+Z26*U26/100+Z27*U27/100</f>
        <v>1607.0772806771201</v>
      </c>
      <c r="V31" s="192" t="s">
        <v>79</v>
      </c>
    </row>
    <row r="32" spans="2:26" ht="19.05" customHeight="1" x14ac:dyDescent="0.3">
      <c r="B32" s="154"/>
      <c r="C32" s="155"/>
      <c r="D32" s="156">
        <f>1/D31</f>
        <v>1.0997156475935104</v>
      </c>
      <c r="E32" s="157"/>
      <c r="F32" s="155"/>
      <c r="G32" s="300">
        <f>G63</f>
        <v>23.167319001066154</v>
      </c>
      <c r="H32" s="157"/>
      <c r="I32" s="99"/>
      <c r="J32" s="100"/>
      <c r="K32" s="12"/>
      <c r="L32" s="13"/>
      <c r="T32" s="192" t="s">
        <v>78</v>
      </c>
      <c r="U32" s="193">
        <f>U31/4.1855</f>
        <v>383.96303444680922</v>
      </c>
      <c r="V32" s="192" t="s">
        <v>80</v>
      </c>
    </row>
    <row r="33" spans="2:25" ht="19.05" customHeight="1" x14ac:dyDescent="0.3">
      <c r="B33" s="14"/>
      <c r="C33" s="25"/>
      <c r="D33" s="26"/>
      <c r="E33" s="27"/>
      <c r="F33" s="28"/>
      <c r="G33" s="29"/>
      <c r="H33" s="30"/>
      <c r="I33" s="31"/>
      <c r="J33" s="32"/>
      <c r="K33" s="27"/>
      <c r="L33" s="30"/>
      <c r="Q33" s="2"/>
    </row>
    <row r="34" spans="2:25" ht="19.05" customHeight="1" x14ac:dyDescent="0.3">
      <c r="B34" s="19" t="s">
        <v>116</v>
      </c>
      <c r="C34" s="302">
        <f>(I34-(2487*G34))/((1.005+(1.88*G34)))</f>
        <v>57.999535960934111</v>
      </c>
      <c r="D34" s="303">
        <f>((22.41/273)*(C34+273))*((1/29)+((1/18)*G34))</f>
        <v>0.98596071559032228</v>
      </c>
      <c r="E34" s="105">
        <f>D34*F34</f>
        <v>103070.34151080846</v>
      </c>
      <c r="F34" s="104">
        <f>F27+F31</f>
        <v>104537.97994283916</v>
      </c>
      <c r="G34" s="304">
        <f>H34/F34</f>
        <v>3.2479280899504429E-2</v>
      </c>
      <c r="H34" s="105">
        <f>H27+H31</f>
        <v>3395.3184152302329</v>
      </c>
      <c r="I34" s="305">
        <f>K34/F34</f>
        <v>142.60701769237653</v>
      </c>
      <c r="J34" s="422">
        <f>I34/4.1855</f>
        <v>34.071680251433882</v>
      </c>
      <c r="K34" s="20">
        <f>K27+K31</f>
        <v>14907849.555233767</v>
      </c>
      <c r="L34" s="6">
        <f>J34*F34</f>
        <v>3561784.626743224</v>
      </c>
    </row>
    <row r="35" spans="2:25" ht="19.05" customHeight="1" x14ac:dyDescent="0.3">
      <c r="B35" s="40" t="s">
        <v>162</v>
      </c>
      <c r="C35" s="41"/>
      <c r="D35" s="156">
        <f>1/D34</f>
        <v>1.0142391924827066</v>
      </c>
      <c r="E35" s="42"/>
      <c r="F35" s="43"/>
      <c r="G35" s="301">
        <f>I102</f>
        <v>27.723794306770909</v>
      </c>
      <c r="H35" s="44"/>
      <c r="I35" s="45"/>
      <c r="J35" s="46"/>
      <c r="K35" s="47"/>
      <c r="L35" s="48"/>
      <c r="T35" s="192" t="s">
        <v>81</v>
      </c>
      <c r="U35" s="193">
        <f>U15-U31</f>
        <v>40.430429967472492</v>
      </c>
      <c r="V35" s="192" t="s">
        <v>79</v>
      </c>
    </row>
    <row r="36" spans="2:25" ht="22.2" customHeight="1" x14ac:dyDescent="0.3">
      <c r="B36" s="279" t="s">
        <v>263</v>
      </c>
      <c r="C36" s="401"/>
      <c r="D36" s="402"/>
      <c r="E36" s="403"/>
      <c r="F36" s="401"/>
      <c r="G36" s="402"/>
      <c r="H36" s="403"/>
      <c r="I36" s="2"/>
      <c r="J36" s="2"/>
      <c r="K36" s="2"/>
      <c r="L36" s="2"/>
      <c r="T36" s="192"/>
      <c r="U36" s="193">
        <f>U16-U32</f>
        <v>9.6596416121066682</v>
      </c>
      <c r="V36" s="192" t="s">
        <v>80</v>
      </c>
    </row>
    <row r="37" spans="2:25" ht="16.2" customHeight="1" x14ac:dyDescent="0.3">
      <c r="B37" s="14"/>
      <c r="C37" s="15"/>
      <c r="D37" s="16"/>
      <c r="E37" s="16"/>
      <c r="F37" s="15"/>
      <c r="G37" s="16"/>
      <c r="H37" s="16"/>
      <c r="I37" s="101"/>
      <c r="J37" s="102"/>
      <c r="K37" s="17"/>
      <c r="L37" s="18"/>
    </row>
    <row r="38" spans="2:25" ht="16.2" customHeight="1" x14ac:dyDescent="0.3">
      <c r="B38" s="19" t="s">
        <v>274</v>
      </c>
      <c r="C38" s="103">
        <v>70</v>
      </c>
      <c r="D38" s="337">
        <f>((22.41/273)*(C38+273))*((1/29)+((1/18)*G38))</f>
        <v>0.98497993368700276</v>
      </c>
      <c r="E38" s="332">
        <f>F38*D38</f>
        <v>14774.699005305041</v>
      </c>
      <c r="F38" s="336">
        <v>15000</v>
      </c>
      <c r="G38" s="335">
        <v>8.9999999999999993E-3</v>
      </c>
      <c r="H38" s="95">
        <f>F38*G38</f>
        <v>135</v>
      </c>
      <c r="I38" s="96">
        <f>(((1.005+(1.88*$G$38))*$C$38)+(2487*$G$38))</f>
        <v>93.917399999999986</v>
      </c>
      <c r="J38" s="97">
        <f>I38/4.1855</f>
        <v>22.438752837175961</v>
      </c>
      <c r="K38" s="20">
        <f>F38*I38</f>
        <v>1408760.9999999998</v>
      </c>
      <c r="L38" s="6">
        <f>K38/4.1855</f>
        <v>336581.29255763942</v>
      </c>
      <c r="T38" t="s">
        <v>129</v>
      </c>
      <c r="U38" s="125">
        <f>'Simul 1'!H9*'Simul 1'!U16</f>
        <v>1666507.0890474489</v>
      </c>
      <c r="V38" t="s">
        <v>80</v>
      </c>
      <c r="Y38" s="125"/>
    </row>
    <row r="39" spans="2:25" ht="16.2" customHeight="1" x14ac:dyDescent="0.3">
      <c r="B39" s="19"/>
      <c r="C39" s="106"/>
      <c r="D39" s="98">
        <f>1/D38</f>
        <v>1.0152491089404976</v>
      </c>
      <c r="E39" s="20"/>
      <c r="F39" s="104"/>
      <c r="G39" s="11"/>
      <c r="H39" s="105"/>
      <c r="I39" s="96"/>
      <c r="J39" s="97"/>
      <c r="K39" s="20"/>
      <c r="L39" s="6"/>
      <c r="T39" t="s">
        <v>130</v>
      </c>
      <c r="U39" s="125">
        <f>'Simul 1'!H9*'Simul 1'!U32</f>
        <v>1635172.8634701655</v>
      </c>
      <c r="V39" t="s">
        <v>80</v>
      </c>
      <c r="Y39" s="125"/>
    </row>
    <row r="40" spans="2:25" ht="16.2" customHeight="1" x14ac:dyDescent="0.3">
      <c r="B40" s="107" t="s">
        <v>40</v>
      </c>
      <c r="C40" s="106"/>
      <c r="D40" s="108"/>
      <c r="E40" s="109"/>
      <c r="F40" s="110"/>
      <c r="G40" s="111"/>
      <c r="H40" s="195">
        <f>H6-H9-H48</f>
        <v>123.60842183163732</v>
      </c>
      <c r="I40" s="112"/>
      <c r="J40" s="97"/>
      <c r="K40" s="20"/>
      <c r="L40" s="6"/>
      <c r="T40" s="269" t="s">
        <v>131</v>
      </c>
      <c r="U40" s="270">
        <f>U38-U39</f>
        <v>31334.225577283418</v>
      </c>
      <c r="V40" s="271" t="s">
        <v>80</v>
      </c>
      <c r="Y40" s="125"/>
    </row>
    <row r="41" spans="2:25" ht="16.2" customHeight="1" x14ac:dyDescent="0.3">
      <c r="B41" s="176"/>
      <c r="C41" s="177"/>
      <c r="D41" s="178"/>
      <c r="E41" s="179"/>
      <c r="F41" s="180"/>
      <c r="G41" s="181"/>
      <c r="H41" s="182"/>
      <c r="I41" s="99"/>
      <c r="J41" s="100"/>
      <c r="K41" s="179"/>
      <c r="L41" s="182"/>
    </row>
    <row r="42" spans="2:25" ht="16.2" customHeight="1" x14ac:dyDescent="0.3">
      <c r="B42" s="14"/>
      <c r="C42" s="25"/>
      <c r="D42" s="26"/>
      <c r="E42" s="27"/>
      <c r="F42" s="28"/>
      <c r="G42" s="29"/>
      <c r="H42" s="30"/>
      <c r="I42" s="101"/>
      <c r="J42" s="102"/>
      <c r="K42" s="27"/>
      <c r="L42" s="30"/>
    </row>
    <row r="43" spans="2:25" ht="16.2" customHeight="1" x14ac:dyDescent="0.3">
      <c r="B43" s="158" t="s">
        <v>275</v>
      </c>
      <c r="C43" s="33">
        <f>(I43-(2487*G43))/((1.005+(1.88*G43)))</f>
        <v>49.199460858433959</v>
      </c>
      <c r="D43" s="34">
        <f>((22.41/273)*(C43+273))*((1/29)+((1/18)*G43))</f>
        <v>0.93735626728639243</v>
      </c>
      <c r="E43" s="35">
        <f>D43*F43</f>
        <v>14060.344009295886</v>
      </c>
      <c r="F43" s="36">
        <f>F38</f>
        <v>15000</v>
      </c>
      <c r="G43" s="37">
        <f>H43/F43</f>
        <v>1.7240561455442487E-2</v>
      </c>
      <c r="H43" s="35">
        <f>SUM(H38:H41)</f>
        <v>258.60842183163732</v>
      </c>
      <c r="I43" s="113">
        <f>I38</f>
        <v>93.917399999999986</v>
      </c>
      <c r="J43" s="114">
        <f>I43/4.1855</f>
        <v>22.438752837175961</v>
      </c>
      <c r="K43" s="196">
        <f>F43*I43</f>
        <v>1408760.9999999998</v>
      </c>
      <c r="L43" s="197">
        <f>K43/4.1855</f>
        <v>336581.29255763942</v>
      </c>
    </row>
    <row r="44" spans="2:25" x14ac:dyDescent="0.3">
      <c r="B44" s="115"/>
      <c r="C44" s="116"/>
      <c r="D44" s="117">
        <f>1/D43</f>
        <v>1.0668302276304811</v>
      </c>
      <c r="E44" s="118"/>
      <c r="F44" s="119"/>
      <c r="G44" s="301">
        <f>I112</f>
        <v>23.083367580265971</v>
      </c>
      <c r="H44" s="120"/>
      <c r="I44" s="121" t="s">
        <v>41</v>
      </c>
      <c r="J44" s="122"/>
      <c r="K44" s="123"/>
      <c r="L44" s="124"/>
      <c r="N44" s="327" t="s">
        <v>225</v>
      </c>
      <c r="O44" s="186"/>
      <c r="P44" s="186"/>
      <c r="Q44" s="186"/>
      <c r="R44" s="186"/>
    </row>
    <row r="45" spans="2:25" x14ac:dyDescent="0.3">
      <c r="B45" s="14"/>
      <c r="C45" s="15"/>
      <c r="D45" s="16"/>
      <c r="E45" s="16"/>
      <c r="F45" s="15"/>
      <c r="G45" s="16"/>
      <c r="H45" s="16"/>
      <c r="I45" s="101"/>
      <c r="J45" s="102"/>
      <c r="K45" s="17"/>
      <c r="L45" s="18"/>
    </row>
    <row r="46" spans="2:25" x14ac:dyDescent="0.3">
      <c r="B46" s="19" t="s">
        <v>273</v>
      </c>
      <c r="C46" s="103">
        <v>80</v>
      </c>
      <c r="D46" s="337">
        <f>((22.41/273)*(C46+273))*((1/29)+((1/18)*G46))</f>
        <v>1.013696549829481</v>
      </c>
      <c r="E46" s="332">
        <f>F46*D46</f>
        <v>15205.448247442215</v>
      </c>
      <c r="F46" s="336">
        <v>15000</v>
      </c>
      <c r="G46" s="335">
        <v>8.9999999999999993E-3</v>
      </c>
      <c r="H46" s="95">
        <f>F46*G46</f>
        <v>135</v>
      </c>
      <c r="I46" s="96">
        <f>(((1.005+(1.88*$G$46))*$C$46)+(2487*$G$46))</f>
        <v>104.13659999999999</v>
      </c>
      <c r="J46" s="97">
        <f>I46/4.1855</f>
        <v>24.880324931310472</v>
      </c>
      <c r="K46" s="20">
        <f>F46*I46</f>
        <v>1562048.9999999998</v>
      </c>
      <c r="L46" s="6">
        <f>K46/4.1855</f>
        <v>373204.87396965706</v>
      </c>
    </row>
    <row r="47" spans="2:25" x14ac:dyDescent="0.3">
      <c r="B47" s="19"/>
      <c r="C47" s="106"/>
      <c r="D47" s="98">
        <f>1/D46</f>
        <v>0.98648851095351464</v>
      </c>
      <c r="E47" s="20"/>
      <c r="F47" s="104"/>
      <c r="G47" s="11"/>
      <c r="H47" s="105"/>
      <c r="I47" s="96"/>
      <c r="J47" s="97"/>
      <c r="K47" s="20"/>
      <c r="L47" s="6"/>
    </row>
    <row r="48" spans="2:25" x14ac:dyDescent="0.3">
      <c r="B48" s="107" t="s">
        <v>40</v>
      </c>
      <c r="C48" s="106"/>
      <c r="D48" s="108"/>
      <c r="E48" s="109"/>
      <c r="F48" s="110"/>
      <c r="G48" s="414"/>
      <c r="H48" s="413">
        <v>165</v>
      </c>
      <c r="I48" s="112"/>
      <c r="J48" s="97"/>
      <c r="K48" s="20"/>
      <c r="L48" s="6"/>
    </row>
    <row r="49" spans="2:29" x14ac:dyDescent="0.3">
      <c r="B49" s="176"/>
      <c r="C49" s="177"/>
      <c r="D49" s="178"/>
      <c r="E49" s="179"/>
      <c r="F49" s="180"/>
      <c r="G49" s="415"/>
      <c r="H49" s="182"/>
      <c r="I49" s="99"/>
      <c r="J49" s="100"/>
      <c r="K49" s="179"/>
      <c r="L49" s="182"/>
    </row>
    <row r="50" spans="2:29" x14ac:dyDescent="0.3">
      <c r="B50" s="14"/>
      <c r="C50" s="25"/>
      <c r="D50" s="26"/>
      <c r="E50" s="27"/>
      <c r="F50" s="28"/>
      <c r="G50" s="29"/>
      <c r="H50" s="30"/>
      <c r="I50" s="101"/>
      <c r="J50" s="102"/>
      <c r="K50" s="27"/>
      <c r="L50" s="30"/>
    </row>
    <row r="51" spans="2:29" x14ac:dyDescent="0.3">
      <c r="B51" s="158" t="s">
        <v>276</v>
      </c>
      <c r="C51" s="33">
        <f>(I51-(2487*G51))/((1.005+(1.88*G51)))</f>
        <v>52.173988106656424</v>
      </c>
      <c r="D51" s="34">
        <f>((22.41/273)*(C51+273))*((1/29)+((1/18)*G51))</f>
        <v>0.95010195911102535</v>
      </c>
      <c r="E51" s="35">
        <f>D51*F51</f>
        <v>14251.529386665381</v>
      </c>
      <c r="F51" s="36">
        <f>F46</f>
        <v>15000</v>
      </c>
      <c r="G51" s="37">
        <f>H51/F51</f>
        <v>0.02</v>
      </c>
      <c r="H51" s="35">
        <f>SUM(H46:H49)</f>
        <v>300</v>
      </c>
      <c r="I51" s="113">
        <f>I46</f>
        <v>104.13659999999999</v>
      </c>
      <c r="J51" s="114">
        <f>I51/4.1855</f>
        <v>24.880324931310472</v>
      </c>
      <c r="K51" s="196">
        <f>F51*I51</f>
        <v>1562048.9999999998</v>
      </c>
      <c r="L51" s="197">
        <f>K51/4.1855</f>
        <v>373204.87396965706</v>
      </c>
    </row>
    <row r="52" spans="2:29" x14ac:dyDescent="0.3">
      <c r="B52" s="115"/>
      <c r="C52" s="116"/>
      <c r="D52" s="117">
        <f>1/D51</f>
        <v>1.0525186169868153</v>
      </c>
      <c r="E52" s="118"/>
      <c r="F52" s="119"/>
      <c r="G52" s="301">
        <f>I121</f>
        <v>23.016946848300588</v>
      </c>
      <c r="H52" s="120"/>
      <c r="I52" s="121" t="s">
        <v>41</v>
      </c>
      <c r="J52" s="122"/>
      <c r="K52" s="123"/>
      <c r="L52" s="124"/>
    </row>
    <row r="53" spans="2:29" ht="16.2" customHeight="1" x14ac:dyDescent="0.3">
      <c r="B53" s="14"/>
      <c r="C53" s="15"/>
      <c r="D53" s="16"/>
      <c r="E53" s="16"/>
      <c r="F53" s="15"/>
      <c r="G53" s="16"/>
      <c r="H53" s="16"/>
      <c r="I53" s="101"/>
      <c r="J53" s="102"/>
      <c r="K53" s="17"/>
      <c r="L53" s="18"/>
    </row>
    <row r="54" spans="2:29" ht="16.2" customHeight="1" x14ac:dyDescent="0.3">
      <c r="B54" s="19" t="s">
        <v>112</v>
      </c>
      <c r="C54" s="103">
        <v>22.486275508840926</v>
      </c>
      <c r="D54" s="337">
        <f>((22.41/273)*(C54+273))*((1/29)+((1/18)*G54))</f>
        <v>0.83910376381301233</v>
      </c>
      <c r="E54" s="332">
        <f>F54*D54</f>
        <v>16782.075276260246</v>
      </c>
      <c r="F54" s="336">
        <v>20000</v>
      </c>
      <c r="G54" s="194">
        <v>2E-3</v>
      </c>
      <c r="H54" s="105">
        <f>G54*F54</f>
        <v>40</v>
      </c>
      <c r="I54" s="96">
        <f>(((1.005+(1.88*$G$54))*$C$54)+(2487*$G$54))</f>
        <v>27.657255282298369</v>
      </c>
      <c r="J54" s="97">
        <f>I54/4.1855</f>
        <v>6.6078736787237764</v>
      </c>
      <c r="K54" s="20">
        <f>F54*I54</f>
        <v>553145.10564596741</v>
      </c>
      <c r="L54" s="6">
        <f>K54/4.1855</f>
        <v>132157.47357447553</v>
      </c>
    </row>
    <row r="55" spans="2:29" ht="16.2" customHeight="1" x14ac:dyDescent="0.3">
      <c r="B55" s="19"/>
      <c r="C55" s="106"/>
      <c r="D55" s="98">
        <f>1/D54</f>
        <v>1.1917477231371854</v>
      </c>
      <c r="E55" s="20"/>
      <c r="F55" s="104"/>
      <c r="G55" s="11"/>
      <c r="H55" s="105"/>
      <c r="I55" s="96"/>
      <c r="J55" s="97"/>
      <c r="K55" s="20"/>
      <c r="L55" s="6"/>
    </row>
    <row r="56" spans="2:29" ht="16.2" customHeight="1" x14ac:dyDescent="0.3">
      <c r="B56" s="107" t="s">
        <v>61</v>
      </c>
      <c r="C56" s="106"/>
      <c r="D56" s="108"/>
      <c r="E56" s="109"/>
      <c r="F56" s="110"/>
      <c r="G56" s="111"/>
      <c r="H56" s="105"/>
      <c r="I56" s="112"/>
      <c r="J56" s="97"/>
      <c r="K56" s="263">
        <f>L56*4.1855</f>
        <v>131149.40115371975</v>
      </c>
      <c r="L56" s="195">
        <f>'Simul 1'!U40</f>
        <v>31334.225577283418</v>
      </c>
    </row>
    <row r="57" spans="2:29" ht="16.2" customHeight="1" x14ac:dyDescent="0.3">
      <c r="B57" s="176"/>
      <c r="C57" s="177"/>
      <c r="D57" s="178"/>
      <c r="E57" s="179"/>
      <c r="F57" s="180"/>
      <c r="G57" s="181"/>
      <c r="H57" s="182"/>
      <c r="I57" s="99"/>
      <c r="J57" s="100"/>
      <c r="K57" s="179"/>
      <c r="L57" s="182"/>
    </row>
    <row r="58" spans="2:29" ht="16.2" customHeight="1" x14ac:dyDescent="0.3">
      <c r="B58" s="14"/>
      <c r="C58" s="25"/>
      <c r="D58" s="26"/>
      <c r="E58" s="27"/>
      <c r="F58" s="28"/>
      <c r="G58" s="29"/>
      <c r="H58" s="30"/>
      <c r="I58" s="101"/>
      <c r="J58" s="102"/>
      <c r="K58" s="27"/>
      <c r="L58" s="30"/>
    </row>
    <row r="59" spans="2:29" ht="16.2" customHeight="1" x14ac:dyDescent="0.3">
      <c r="B59" s="158" t="s">
        <v>113</v>
      </c>
      <c r="C59" s="33">
        <f>(I59-(2487*G59))/((1.005+(1.88*G59)))</f>
        <v>28.986800963543715</v>
      </c>
      <c r="D59" s="34">
        <f>((22.41/273)*(C59+273))*((1/29)+((1/18)*G59))</f>
        <v>0.85756355645959226</v>
      </c>
      <c r="E59" s="35">
        <f>D59*F59</f>
        <v>17151.271129191846</v>
      </c>
      <c r="F59" s="36">
        <f>F54</f>
        <v>20000</v>
      </c>
      <c r="G59" s="37">
        <f>H59/F59</f>
        <v>2E-3</v>
      </c>
      <c r="H59" s="35">
        <f>SUM(H54:H57)</f>
        <v>40</v>
      </c>
      <c r="I59" s="38">
        <f>K59/F59</f>
        <v>34.214725339984355</v>
      </c>
      <c r="J59" s="114">
        <f>I59/4.1855</f>
        <v>8.1745849575879479</v>
      </c>
      <c r="K59" s="196">
        <f>K54+K56</f>
        <v>684294.50679968717</v>
      </c>
      <c r="L59" s="197">
        <f>K59/4.1855</f>
        <v>163491.69915175895</v>
      </c>
      <c r="N59" s="327" t="s">
        <v>224</v>
      </c>
      <c r="O59" s="186"/>
      <c r="P59" s="186"/>
      <c r="Q59" s="186"/>
      <c r="R59" s="186"/>
      <c r="T59" s="338" t="s">
        <v>245</v>
      </c>
      <c r="U59" s="339" t="s">
        <v>90</v>
      </c>
      <c r="V59" s="340"/>
      <c r="W59" s="341" t="s">
        <v>246</v>
      </c>
      <c r="X59" s="340"/>
    </row>
    <row r="60" spans="2:29" ht="16.2" customHeight="1" x14ac:dyDescent="0.3">
      <c r="B60" s="115"/>
      <c r="C60" s="116"/>
      <c r="D60" s="117">
        <f>1/D59</f>
        <v>1.1660943290645995</v>
      </c>
      <c r="E60" s="118"/>
      <c r="F60" s="119"/>
      <c r="G60" s="300">
        <f>I130</f>
        <v>8.1271036862356745</v>
      </c>
      <c r="H60" s="120"/>
      <c r="I60" s="121" t="s">
        <v>41</v>
      </c>
      <c r="J60" s="122"/>
      <c r="K60" s="198"/>
      <c r="L60" s="199"/>
      <c r="T60" s="257" t="s">
        <v>88</v>
      </c>
      <c r="U60" s="230">
        <v>1319</v>
      </c>
      <c r="V60" s="231" t="s">
        <v>89</v>
      </c>
      <c r="W60" s="260">
        <f>L65/H65</f>
        <v>948.61214300343795</v>
      </c>
      <c r="X60" s="223" t="s">
        <v>89</v>
      </c>
    </row>
    <row r="61" spans="2:29" ht="16.2" customHeight="1" x14ac:dyDescent="0.3">
      <c r="B61" s="14"/>
      <c r="C61" s="25"/>
      <c r="D61" s="26"/>
      <c r="E61" s="27"/>
      <c r="F61" s="28"/>
      <c r="G61" s="29"/>
      <c r="H61" s="30"/>
      <c r="I61" s="101"/>
      <c r="J61" s="102"/>
      <c r="K61" s="200"/>
      <c r="L61" s="201"/>
      <c r="T61" s="256" t="s">
        <v>269</v>
      </c>
      <c r="U61" s="262">
        <f>U62/950</f>
        <v>2.2547008547008547</v>
      </c>
      <c r="V61" s="223" t="s">
        <v>89</v>
      </c>
      <c r="W61" s="242">
        <f>W62/950</f>
        <v>1.6215592188092953</v>
      </c>
      <c r="X61" s="223" t="s">
        <v>89</v>
      </c>
      <c r="AB61" s="214"/>
    </row>
    <row r="62" spans="2:29" ht="16.2" customHeight="1" x14ac:dyDescent="0.3">
      <c r="B62" s="19" t="s">
        <v>153</v>
      </c>
      <c r="C62" s="302">
        <f>(I62-(2487*G62))/((1.005+(1.88*G62)))</f>
        <v>42.167380563900487</v>
      </c>
      <c r="D62" s="303">
        <f>((22.41/273)*(C62+273))*((1/29)+((1/18)*G62))</f>
        <v>0.90932597184397945</v>
      </c>
      <c r="E62" s="105">
        <f>D62*F62</f>
        <v>45466.298592198975</v>
      </c>
      <c r="F62" s="104">
        <f>F59+F43+F51</f>
        <v>50000</v>
      </c>
      <c r="G62" s="304">
        <f>H62/F62</f>
        <v>1.1972168436632746E-2</v>
      </c>
      <c r="H62" s="105">
        <f>H59+H43+H51</f>
        <v>598.60842183163732</v>
      </c>
      <c r="I62" s="305">
        <f>K62/F62</f>
        <v>73.102090135993734</v>
      </c>
      <c r="J62" s="306">
        <f>I62/4.1855</f>
        <v>17.465557313581108</v>
      </c>
      <c r="K62" s="20">
        <f>L62*4.1855</f>
        <v>3655104.5067996867</v>
      </c>
      <c r="L62" s="6">
        <f>L59+L43+L51</f>
        <v>873277.86567905545</v>
      </c>
      <c r="S62" s="214"/>
      <c r="T62" s="258" t="s">
        <v>270</v>
      </c>
      <c r="U62" s="230">
        <f>U60/585*950</f>
        <v>2141.965811965812</v>
      </c>
      <c r="V62" s="231" t="s">
        <v>89</v>
      </c>
      <c r="W62" s="260">
        <f>W60/585*950</f>
        <v>1540.4812578688307</v>
      </c>
      <c r="X62" s="223" t="s">
        <v>89</v>
      </c>
    </row>
    <row r="63" spans="2:29" ht="16.2" customHeight="1" x14ac:dyDescent="0.3">
      <c r="B63" s="115"/>
      <c r="C63" s="116"/>
      <c r="D63" s="117">
        <f>1/D62</f>
        <v>1.0997156475935104</v>
      </c>
      <c r="E63" s="118"/>
      <c r="F63" s="119"/>
      <c r="G63" s="301">
        <f>I139</f>
        <v>23.167319001066154</v>
      </c>
      <c r="H63" s="120"/>
      <c r="I63" s="121"/>
      <c r="J63" s="122"/>
      <c r="K63" s="123"/>
      <c r="L63" s="124"/>
      <c r="M63" s="214"/>
      <c r="T63" s="259" t="s">
        <v>271</v>
      </c>
      <c r="U63" s="232">
        <v>140</v>
      </c>
      <c r="V63" s="233" t="s">
        <v>89</v>
      </c>
      <c r="W63" s="261">
        <v>200</v>
      </c>
      <c r="X63" s="233" t="s">
        <v>89</v>
      </c>
      <c r="AB63" s="214"/>
      <c r="AC63" s="214"/>
    </row>
    <row r="64" spans="2:29" s="214" customFormat="1" ht="16.2" customHeight="1" x14ac:dyDescent="0.3">
      <c r="B64" s="206"/>
      <c r="C64" s="396"/>
      <c r="D64" s="397"/>
      <c r="E64" s="398"/>
      <c r="F64" s="399"/>
      <c r="G64" s="404"/>
      <c r="H64" s="398"/>
      <c r="I64" s="211"/>
      <c r="J64" s="212"/>
      <c r="K64" s="213"/>
      <c r="L64" s="213"/>
      <c r="M64"/>
      <c r="T64" s="214" t="s">
        <v>91</v>
      </c>
      <c r="Y64"/>
      <c r="Z64"/>
      <c r="AA64"/>
      <c r="AC64"/>
    </row>
    <row r="65" spans="2:29" ht="16.2" customHeight="1" x14ac:dyDescent="0.3">
      <c r="B65" s="216" t="s">
        <v>132</v>
      </c>
      <c r="C65" s="215"/>
      <c r="D65" s="217" t="s">
        <v>86</v>
      </c>
      <c r="E65" s="218">
        <f>F65*D19</f>
        <v>89008.619305042957</v>
      </c>
      <c r="F65" s="219">
        <f>F38+F46+F54+F19</f>
        <v>104537.97994283916</v>
      </c>
      <c r="G65" s="273" t="s">
        <v>87</v>
      </c>
      <c r="H65" s="274">
        <f>H24+H40+H48</f>
        <v>2594.4765957446807</v>
      </c>
      <c r="I65" s="220"/>
      <c r="J65" s="221" t="s">
        <v>85</v>
      </c>
      <c r="K65" s="222">
        <f>(K22+K38+K46)-((F65-F54)*I19)</f>
        <v>10301151.710488636</v>
      </c>
      <c r="L65" s="218">
        <f>K65/4.1855</f>
        <v>2461152.0034616259</v>
      </c>
      <c r="M65" s="214"/>
      <c r="S65" s="214"/>
      <c r="AC65" s="214"/>
    </row>
    <row r="66" spans="2:29" s="214" customFormat="1" ht="16.2" customHeight="1" x14ac:dyDescent="0.3">
      <c r="B66" s="206"/>
      <c r="C66" s="207"/>
      <c r="D66" s="208"/>
      <c r="E66" s="209"/>
      <c r="F66" s="209"/>
      <c r="G66" s="210"/>
      <c r="H66" s="209"/>
      <c r="I66" s="211"/>
      <c r="J66" s="212"/>
      <c r="K66" s="213"/>
      <c r="L66" s="213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</row>
    <row r="67" spans="2:29" s="214" customFormat="1" ht="25.2" customHeight="1" x14ac:dyDescent="0.3">
      <c r="B67" s="279" t="s">
        <v>138</v>
      </c>
      <c r="C67" s="207"/>
      <c r="D67" s="208"/>
      <c r="E67" s="209"/>
      <c r="F67" s="209"/>
      <c r="G67" s="210"/>
      <c r="H67" s="209"/>
      <c r="I67" s="211"/>
      <c r="J67" s="212"/>
      <c r="K67" s="213"/>
      <c r="L67" s="213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</row>
    <row r="68" spans="2:29" ht="16.2" customHeight="1" x14ac:dyDescent="0.3">
      <c r="B68" s="126" t="s">
        <v>133</v>
      </c>
      <c r="C68" s="127"/>
      <c r="D68" s="278" t="str" cm="1">
        <f t="array" aca="1" ref="D68" ca="1">CELL("adresse",C19)</f>
        <v>$C$19</v>
      </c>
      <c r="E68" s="127"/>
      <c r="F68" s="128"/>
      <c r="G68" s="129"/>
      <c r="H68" s="129"/>
      <c r="I68" s="130"/>
      <c r="J68" s="131"/>
      <c r="K68" s="132"/>
      <c r="L68" s="133"/>
    </row>
    <row r="69" spans="2:29" ht="16.2" customHeight="1" x14ac:dyDescent="0.3">
      <c r="B69" s="3" t="s">
        <v>42</v>
      </c>
      <c r="C69" s="134"/>
      <c r="D69" s="134"/>
      <c r="E69" s="134"/>
      <c r="F69" s="134"/>
      <c r="G69" s="135">
        <f>G19</f>
        <v>8.9999999999999993E-3</v>
      </c>
      <c r="H69" s="136"/>
      <c r="I69" s="137">
        <f>100000*(G69/(G69+$B$146))</f>
        <v>1447.999993403394</v>
      </c>
      <c r="J69" s="136" t="s">
        <v>18</v>
      </c>
      <c r="K69" s="138" t="s">
        <v>19</v>
      </c>
      <c r="L69" s="139"/>
    </row>
    <row r="70" spans="2:29" x14ac:dyDescent="0.3">
      <c r="B70" s="140" t="s">
        <v>20</v>
      </c>
      <c r="C70" s="136"/>
      <c r="D70" s="136"/>
      <c r="E70" s="136"/>
      <c r="F70" s="136"/>
      <c r="G70" s="141">
        <f>C19</f>
        <v>23.5</v>
      </c>
      <c r="H70" s="142"/>
      <c r="I70" s="143">
        <f>611.14*EXP(17.269*(((273.16+G70)-273.16)/((273.16+G70)-35.86)))</f>
        <v>2896.8815193735572</v>
      </c>
      <c r="J70" s="136" t="s">
        <v>18</v>
      </c>
      <c r="K70" s="138" t="s">
        <v>21</v>
      </c>
      <c r="L70" s="139"/>
    </row>
    <row r="71" spans="2:29" ht="16.8" customHeight="1" x14ac:dyDescent="0.3">
      <c r="B71" s="140" t="s">
        <v>22</v>
      </c>
      <c r="C71" s="136"/>
      <c r="D71" s="136"/>
      <c r="E71" s="136"/>
      <c r="F71" s="136"/>
      <c r="G71" s="141">
        <f>IF(G70&gt;50,VLOOKUP(I27,'Air humide'!$H$26:$K$246,4),G70*ATAN(0.151977*SQRT(I75+8.313659))+(0.00391838*(SQRT(I75^3))*ATAN(0.023101*I75))-ATAN(I75-1.676331)+ATAN(G70+I75)-4.686035)</f>
        <v>16.706256254360298</v>
      </c>
      <c r="H71" s="142" t="s">
        <v>137</v>
      </c>
      <c r="I71" s="143">
        <f>611.14*EXP(17.269*(((273.16+G71)-273.16)/((273.16+G71)-35.86)))</f>
        <v>1902.8845479255276</v>
      </c>
      <c r="J71" s="136" t="s">
        <v>18</v>
      </c>
      <c r="K71" s="138" t="s">
        <v>23</v>
      </c>
      <c r="L71" s="139"/>
    </row>
    <row r="72" spans="2:29" ht="16.8" customHeight="1" x14ac:dyDescent="0.3">
      <c r="B72" s="140" t="s">
        <v>24</v>
      </c>
      <c r="C72" s="136"/>
      <c r="D72" s="136"/>
      <c r="E72" s="136"/>
      <c r="F72" s="136"/>
      <c r="G72" s="141">
        <f>(31.685*(LOG(I69/613.34))/(1-0.1311*(LOG(I69/613.34))))</f>
        <v>12.428503649319744</v>
      </c>
      <c r="H72" s="142"/>
      <c r="I72" s="143">
        <f>611.14*EXP(17.269*(((273.16+G72)-273.16)/((273.16+G72)-35.86)))</f>
        <v>1443.4202182703198</v>
      </c>
      <c r="J72" s="136" t="s">
        <v>18</v>
      </c>
      <c r="K72" s="138" t="s">
        <v>25</v>
      </c>
      <c r="L72" s="139"/>
    </row>
    <row r="73" spans="2:29" ht="16.8" customHeight="1" x14ac:dyDescent="0.3">
      <c r="B73" s="140" t="s">
        <v>26</v>
      </c>
      <c r="C73" s="136"/>
      <c r="D73" s="136"/>
      <c r="E73" s="136"/>
      <c r="F73" s="136"/>
      <c r="G73" s="144">
        <f>(18/29)*(I70/($L$10-I70))</f>
        <v>1.8267791959156711E-2</v>
      </c>
      <c r="H73" s="142"/>
      <c r="I73" s="143"/>
      <c r="J73" s="136"/>
      <c r="K73" s="138" t="s">
        <v>27</v>
      </c>
      <c r="L73" s="139"/>
    </row>
    <row r="74" spans="2:29" ht="16.8" customHeight="1" x14ac:dyDescent="0.3">
      <c r="B74" s="140" t="s">
        <v>28</v>
      </c>
      <c r="C74" s="136"/>
      <c r="D74" s="136"/>
      <c r="E74" s="136"/>
      <c r="F74" s="136"/>
      <c r="G74" s="144">
        <f>(18/29)*(I71/($L$10-I71))</f>
        <v>1.1879658248210875E-2</v>
      </c>
      <c r="H74" s="142"/>
      <c r="I74" s="143"/>
      <c r="J74" s="136"/>
      <c r="K74" s="138" t="s">
        <v>29</v>
      </c>
      <c r="L74" s="139"/>
    </row>
    <row r="75" spans="2:29" ht="16.8" customHeight="1" x14ac:dyDescent="0.3">
      <c r="B75" s="145" t="s">
        <v>30</v>
      </c>
      <c r="C75" s="146"/>
      <c r="D75" s="146"/>
      <c r="E75" s="146"/>
      <c r="F75" s="147" t="s">
        <v>31</v>
      </c>
      <c r="G75" s="147"/>
      <c r="H75" s="147"/>
      <c r="I75" s="148">
        <f>I69/I70%</f>
        <v>49.984784801158177</v>
      </c>
      <c r="J75" s="146" t="s">
        <v>32</v>
      </c>
      <c r="K75" s="149" t="s">
        <v>33</v>
      </c>
      <c r="L75" s="150"/>
    </row>
    <row r="76" spans="2:29" ht="16.8" customHeight="1" x14ac:dyDescent="0.3">
      <c r="B76" s="2"/>
      <c r="C76" s="2"/>
      <c r="D76" s="2"/>
      <c r="E76" s="2"/>
      <c r="F76" s="2"/>
      <c r="G76" s="2"/>
      <c r="H76" s="2"/>
      <c r="I76" s="2"/>
      <c r="J76" s="2"/>
      <c r="K76" s="51"/>
      <c r="L76" s="2"/>
    </row>
    <row r="77" spans="2:29" ht="16.8" customHeight="1" x14ac:dyDescent="0.3">
      <c r="B77" s="126" t="s">
        <v>43</v>
      </c>
      <c r="C77" s="127"/>
      <c r="D77" s="278" t="str" cm="1">
        <f t="array" aca="1" ref="D77" ca="1">CELL("adresse",C22)</f>
        <v>$C$22</v>
      </c>
      <c r="E77" s="127"/>
      <c r="F77" s="128"/>
      <c r="G77" s="129"/>
      <c r="H77" s="129"/>
      <c r="I77" s="130"/>
      <c r="J77" s="131"/>
      <c r="K77" s="151"/>
      <c r="L77" s="133"/>
    </row>
    <row r="78" spans="2:29" ht="16.8" customHeight="1" x14ac:dyDescent="0.3">
      <c r="B78" s="3" t="s">
        <v>44</v>
      </c>
      <c r="C78" s="134"/>
      <c r="D78" s="134"/>
      <c r="E78" s="134"/>
      <c r="F78" s="134"/>
      <c r="G78" s="135">
        <f>G22</f>
        <v>8.9999999999999993E-3</v>
      </c>
      <c r="H78" s="136"/>
      <c r="I78" s="137">
        <f>100000*(G78/(G78+B146))</f>
        <v>1447.999993403394</v>
      </c>
      <c r="J78" s="136" t="s">
        <v>18</v>
      </c>
      <c r="K78" s="138" t="s">
        <v>19</v>
      </c>
      <c r="L78" s="139"/>
    </row>
    <row r="79" spans="2:29" ht="16.8" customHeight="1" x14ac:dyDescent="0.3">
      <c r="B79" s="140" t="s">
        <v>20</v>
      </c>
      <c r="C79" s="134"/>
      <c r="D79" s="134"/>
      <c r="E79" s="134"/>
      <c r="F79" s="134"/>
      <c r="G79" s="141">
        <f>C22</f>
        <v>180</v>
      </c>
      <c r="H79" s="152"/>
      <c r="I79" s="143">
        <f>((G79/100)^4)*L10</f>
        <v>1063669.3200000003</v>
      </c>
      <c r="J79" s="136" t="s">
        <v>18</v>
      </c>
      <c r="K79" s="138" t="s">
        <v>21</v>
      </c>
      <c r="L79" s="139"/>
    </row>
    <row r="80" spans="2:29" ht="16.8" customHeight="1" x14ac:dyDescent="0.3">
      <c r="B80" s="140" t="s">
        <v>22</v>
      </c>
      <c r="C80" s="134"/>
      <c r="D80" s="134"/>
      <c r="E80" s="134"/>
      <c r="F80" s="134"/>
      <c r="G80" s="141">
        <f>VLOOKUP(ROUND(I22,-1),'Air humide'!$H$26:$K$246,4)</f>
        <v>44.5</v>
      </c>
      <c r="H80" s="142" t="s">
        <v>137</v>
      </c>
      <c r="I80" s="143">
        <f>611.14*EXP(17.269*(((273.16+G80)-273.16)/((273.16+G80)-35.86)))</f>
        <v>9342.5340675363059</v>
      </c>
      <c r="J80" s="136" t="s">
        <v>18</v>
      </c>
      <c r="K80" s="138" t="s">
        <v>23</v>
      </c>
      <c r="L80" s="139"/>
    </row>
    <row r="81" spans="2:29" ht="16.8" customHeight="1" x14ac:dyDescent="0.3">
      <c r="B81" s="140" t="s">
        <v>24</v>
      </c>
      <c r="C81" s="134"/>
      <c r="D81" s="134"/>
      <c r="E81" s="134"/>
      <c r="F81" s="134"/>
      <c r="G81" s="141">
        <f>(31.685*(LOG(I78/613.34))/(1-0.1311*(LOG(I78/613.34))))</f>
        <v>12.428503649319744</v>
      </c>
      <c r="H81" s="152"/>
      <c r="I81" s="143">
        <f>611.14*EXP(17.269*(((273.16+G81)-273.16)/((273.16+G81)-35.86)))</f>
        <v>1443.4202182703198</v>
      </c>
      <c r="J81" s="136" t="s">
        <v>18</v>
      </c>
      <c r="K81" s="138" t="s">
        <v>25</v>
      </c>
      <c r="L81" s="139"/>
    </row>
    <row r="82" spans="2:29" ht="16.8" customHeight="1" x14ac:dyDescent="0.3">
      <c r="B82" s="140"/>
      <c r="C82" s="134"/>
      <c r="D82" s="134"/>
      <c r="E82" s="134"/>
      <c r="F82" s="134"/>
      <c r="G82" s="144"/>
      <c r="H82" s="152"/>
      <c r="I82" s="143"/>
      <c r="J82" s="134"/>
      <c r="K82" s="138"/>
      <c r="L82" s="139"/>
    </row>
    <row r="83" spans="2:29" ht="16.8" customHeight="1" x14ac:dyDescent="0.3">
      <c r="B83" s="140" t="s">
        <v>28</v>
      </c>
      <c r="C83" s="134"/>
      <c r="D83" s="134"/>
      <c r="E83" s="134"/>
      <c r="F83" s="134"/>
      <c r="G83" s="144">
        <f>(18/29)*(I80/($L$10-I80))</f>
        <v>6.30426048054996E-2</v>
      </c>
      <c r="H83" s="152"/>
      <c r="I83" s="143"/>
      <c r="J83" s="134"/>
      <c r="K83" s="138" t="s">
        <v>29</v>
      </c>
      <c r="L83" s="139"/>
    </row>
    <row r="84" spans="2:29" ht="16.8" customHeight="1" x14ac:dyDescent="0.3">
      <c r="B84" s="145" t="s">
        <v>30</v>
      </c>
      <c r="C84" s="146"/>
      <c r="D84" s="146"/>
      <c r="E84" s="146"/>
      <c r="F84" s="147" t="s">
        <v>31</v>
      </c>
      <c r="G84" s="147"/>
      <c r="H84" s="147"/>
      <c r="I84" s="153">
        <f>I78/I79%</f>
        <v>0.13613253350236645</v>
      </c>
      <c r="J84" s="146" t="s">
        <v>32</v>
      </c>
      <c r="K84" s="149" t="s">
        <v>33</v>
      </c>
      <c r="L84" s="150"/>
    </row>
    <row r="85" spans="2:29" ht="16.8" customHeight="1" x14ac:dyDescent="0.3"/>
    <row r="86" spans="2:29" ht="16.8" customHeight="1" x14ac:dyDescent="0.3">
      <c r="B86" s="126" t="s">
        <v>134</v>
      </c>
      <c r="C86" s="127"/>
      <c r="D86" s="278" t="str" cm="1">
        <f t="array" aca="1" ref="D86" ca="1">CELL("adresse",C27)</f>
        <v>$C$27</v>
      </c>
      <c r="E86" s="127"/>
      <c r="F86" s="128"/>
      <c r="G86" s="129"/>
      <c r="H86" s="129"/>
      <c r="I86" s="130"/>
      <c r="J86" s="131"/>
      <c r="K86" s="151"/>
      <c r="L86" s="133"/>
    </row>
    <row r="87" spans="2:29" ht="16.8" customHeight="1" x14ac:dyDescent="0.3">
      <c r="B87" s="3" t="s">
        <v>46</v>
      </c>
      <c r="C87" s="134"/>
      <c r="D87" s="134"/>
      <c r="E87" s="134"/>
      <c r="F87" s="134"/>
      <c r="G87" s="135">
        <f>G27</f>
        <v>5.128004367469801E-2</v>
      </c>
      <c r="H87" s="136"/>
      <c r="I87" s="137">
        <f>100000*(G87/(G87+B146))</f>
        <v>7724.9107176516718</v>
      </c>
      <c r="J87" s="136" t="s">
        <v>18</v>
      </c>
      <c r="K87" s="138" t="s">
        <v>19</v>
      </c>
      <c r="L87" s="139"/>
    </row>
    <row r="88" spans="2:29" ht="16.8" customHeight="1" x14ac:dyDescent="0.3">
      <c r="B88" s="140" t="s">
        <v>20</v>
      </c>
      <c r="C88" s="134"/>
      <c r="D88" s="134"/>
      <c r="E88" s="134"/>
      <c r="F88" s="134"/>
      <c r="G88" s="141">
        <f>C27</f>
        <v>71.540464543288167</v>
      </c>
      <c r="H88" s="152"/>
      <c r="I88" s="143">
        <f t="shared" ref="I88" si="2">611.14*EXP(17.269*(((273.16+G88)-273.16)/((273.16+G88)-35.86)))</f>
        <v>33374.722888089353</v>
      </c>
      <c r="J88" s="136" t="s">
        <v>18</v>
      </c>
      <c r="K88" s="138" t="s">
        <v>21</v>
      </c>
      <c r="L88" s="139"/>
    </row>
    <row r="89" spans="2:29" ht="16.8" customHeight="1" x14ac:dyDescent="0.3">
      <c r="B89" s="140" t="s">
        <v>22</v>
      </c>
      <c r="C89" s="134"/>
      <c r="D89" s="134"/>
      <c r="E89" s="134"/>
      <c r="F89" s="134"/>
      <c r="G89" s="141">
        <f>VLOOKUP(ROUND(I27,-1),'Air humide'!$H$26:$K$246,4)</f>
        <v>44.5</v>
      </c>
      <c r="H89" s="142" t="s">
        <v>137</v>
      </c>
      <c r="I89" s="143">
        <f>611.14*EXP(17.269*(((273.16+G89)-273.16)/((273.16+G89)-35.86)))</f>
        <v>9342.5340675363059</v>
      </c>
      <c r="J89" s="136" t="s">
        <v>18</v>
      </c>
      <c r="K89" s="138" t="s">
        <v>23</v>
      </c>
      <c r="L89" s="139"/>
    </row>
    <row r="90" spans="2:29" ht="16.8" customHeight="1" x14ac:dyDescent="0.3">
      <c r="B90" s="140" t="s">
        <v>24</v>
      </c>
      <c r="C90" s="134"/>
      <c r="D90" s="134"/>
      <c r="E90" s="134"/>
      <c r="F90" s="134"/>
      <c r="G90" s="141">
        <f>(31.685*(LOG(I87/613.34))/(1-0.1311*(LOG(I87/613.34))))</f>
        <v>40.735011541228822</v>
      </c>
      <c r="H90" s="152"/>
      <c r="I90" s="143">
        <f>611.14*EXP(17.269*(((273.16+G90)-273.16)/((273.16+G90)-35.86)))</f>
        <v>7672.6212596841906</v>
      </c>
      <c r="J90" s="136" t="s">
        <v>18</v>
      </c>
      <c r="K90" s="138" t="s">
        <v>25</v>
      </c>
      <c r="L90" s="139"/>
    </row>
    <row r="91" spans="2:29" ht="16.8" customHeight="1" x14ac:dyDescent="0.3">
      <c r="B91" s="140"/>
      <c r="C91" s="134"/>
      <c r="D91" s="134"/>
      <c r="E91" s="134"/>
      <c r="F91" s="134"/>
      <c r="G91" s="144"/>
      <c r="H91" s="152"/>
      <c r="I91" s="143"/>
      <c r="J91" s="134"/>
      <c r="K91" s="138"/>
      <c r="L91" s="139"/>
      <c r="T91" s="214"/>
      <c r="U91" s="214"/>
      <c r="V91" s="214"/>
      <c r="W91" s="214"/>
      <c r="X91" s="214"/>
      <c r="Y91" s="214"/>
      <c r="Z91" s="214"/>
      <c r="AA91" s="214"/>
      <c r="AB91" s="214"/>
    </row>
    <row r="92" spans="2:29" ht="16.8" customHeight="1" x14ac:dyDescent="0.3">
      <c r="B92" s="140" t="s">
        <v>28</v>
      </c>
      <c r="C92" s="134"/>
      <c r="D92" s="134"/>
      <c r="E92" s="134"/>
      <c r="F92" s="134"/>
      <c r="G92" s="144">
        <f>(18/29)*(I89/($L$10-I89))</f>
        <v>6.30426048054996E-2</v>
      </c>
      <c r="H92" s="152"/>
      <c r="I92" s="143"/>
      <c r="J92" s="134"/>
      <c r="K92" s="138" t="s">
        <v>29</v>
      </c>
      <c r="L92" s="139"/>
      <c r="N92" s="214"/>
      <c r="O92" s="214"/>
      <c r="P92" s="214"/>
      <c r="Q92" s="214"/>
      <c r="R92" s="214"/>
      <c r="S92" s="214"/>
    </row>
    <row r="93" spans="2:29" ht="16.8" customHeight="1" x14ac:dyDescent="0.3">
      <c r="B93" s="145" t="s">
        <v>30</v>
      </c>
      <c r="C93" s="146"/>
      <c r="D93" s="146"/>
      <c r="E93" s="146"/>
      <c r="F93" s="147" t="s">
        <v>31</v>
      </c>
      <c r="G93" s="147"/>
      <c r="H93" s="147"/>
      <c r="I93" s="148">
        <f>I87/I88%</f>
        <v>23.145992083753029</v>
      </c>
      <c r="J93" s="146" t="s">
        <v>32</v>
      </c>
      <c r="K93" s="149" t="s">
        <v>33</v>
      </c>
      <c r="L93" s="150"/>
      <c r="M93" s="214"/>
      <c r="AC93" s="214"/>
    </row>
    <row r="94" spans="2:29" s="214" customFormat="1" ht="16.8" customHeight="1" x14ac:dyDescent="0.3">
      <c r="B94" s="284"/>
      <c r="C94" s="284"/>
      <c r="D94" s="284"/>
      <c r="E94" s="284"/>
      <c r="F94" s="285"/>
      <c r="G94" s="285"/>
      <c r="H94" s="285"/>
      <c r="I94" s="286"/>
      <c r="J94" s="284"/>
      <c r="K94" s="287"/>
      <c r="L94" s="288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</row>
    <row r="95" spans="2:29" ht="16.8" customHeight="1" x14ac:dyDescent="0.3">
      <c r="B95" s="126" t="s">
        <v>110</v>
      </c>
      <c r="C95" s="127"/>
      <c r="D95" s="127"/>
      <c r="E95" s="127"/>
      <c r="F95" s="278" t="str" cm="1">
        <f t="array" aca="1" ref="F95" ca="1">CELL("adresse",C34)</f>
        <v>$C$34</v>
      </c>
      <c r="G95" s="129"/>
      <c r="H95" s="129"/>
      <c r="I95" s="130"/>
      <c r="J95" s="131"/>
      <c r="K95" s="151"/>
      <c r="L95" s="133"/>
    </row>
    <row r="96" spans="2:29" ht="16.8" customHeight="1" x14ac:dyDescent="0.3">
      <c r="B96" s="3" t="s">
        <v>46</v>
      </c>
      <c r="C96" s="134"/>
      <c r="D96" s="134"/>
      <c r="E96" s="134"/>
      <c r="F96" s="134"/>
      <c r="G96" s="135">
        <f>G34</f>
        <v>3.2479280899504429E-2</v>
      </c>
      <c r="H96" s="136"/>
      <c r="I96" s="137">
        <f>100000*(G96/(G96+B146))</f>
        <v>5035.3425381369807</v>
      </c>
      <c r="J96" s="136" t="s">
        <v>18</v>
      </c>
      <c r="K96" s="138" t="s">
        <v>19</v>
      </c>
      <c r="L96" s="139"/>
    </row>
    <row r="97" spans="2:12" ht="16.8" customHeight="1" x14ac:dyDescent="0.3">
      <c r="B97" s="140" t="s">
        <v>20</v>
      </c>
      <c r="C97" s="134"/>
      <c r="D97" s="134"/>
      <c r="E97" s="134"/>
      <c r="F97" s="134"/>
      <c r="G97" s="141">
        <f>C34</f>
        <v>57.999535960934111</v>
      </c>
      <c r="H97" s="152"/>
      <c r="I97" s="143">
        <f t="shared" ref="I97" si="3">611.14*EXP(17.269*(((273.16+G97)-273.16)/((273.16+G97)-35.86)))</f>
        <v>18162.53028867413</v>
      </c>
      <c r="J97" s="136" t="s">
        <v>18</v>
      </c>
      <c r="K97" s="138" t="s">
        <v>21</v>
      </c>
      <c r="L97" s="139"/>
    </row>
    <row r="98" spans="2:12" ht="16.8" customHeight="1" x14ac:dyDescent="0.3">
      <c r="B98" s="140" t="s">
        <v>22</v>
      </c>
      <c r="C98" s="134"/>
      <c r="D98" s="134"/>
      <c r="E98" s="134"/>
      <c r="F98" s="134"/>
      <c r="G98" s="141">
        <f>VLOOKUP(I34,'Air humide'!$H$26:$K$246,4)</f>
        <v>37</v>
      </c>
      <c r="H98" s="142" t="s">
        <v>137</v>
      </c>
      <c r="I98" s="143">
        <f>611.14*EXP(17.269*(((273.16+G98)-273.16)/((273.16+G98)-35.86)))</f>
        <v>6277.4610648613852</v>
      </c>
      <c r="J98" s="136" t="s">
        <v>18</v>
      </c>
      <c r="K98" s="138" t="s">
        <v>23</v>
      </c>
      <c r="L98" s="139"/>
    </row>
    <row r="99" spans="2:12" ht="16.8" customHeight="1" x14ac:dyDescent="0.3">
      <c r="B99" s="140" t="s">
        <v>24</v>
      </c>
      <c r="C99" s="134"/>
      <c r="D99" s="134"/>
      <c r="E99" s="134"/>
      <c r="F99" s="134"/>
      <c r="G99" s="141">
        <f>(31.685*(LOG(I96/613.34))/(1-0.1311*(LOG(I96/613.34))))</f>
        <v>32.916069609597187</v>
      </c>
      <c r="H99" s="152"/>
      <c r="I99" s="143">
        <f>611.14*EXP(17.269*(((273.16+G99)-273.16)/((273.16+G99)-35.86)))</f>
        <v>5008.6919387027719</v>
      </c>
      <c r="J99" s="136" t="s">
        <v>18</v>
      </c>
      <c r="K99" s="138" t="s">
        <v>25</v>
      </c>
      <c r="L99" s="139"/>
    </row>
    <row r="100" spans="2:12" ht="16.8" customHeight="1" x14ac:dyDescent="0.3">
      <c r="B100" s="140"/>
      <c r="C100" s="134"/>
      <c r="D100" s="134"/>
      <c r="E100" s="134"/>
      <c r="F100" s="134"/>
      <c r="G100" s="144"/>
      <c r="H100" s="152"/>
      <c r="I100" s="143"/>
      <c r="J100" s="134"/>
      <c r="K100" s="138"/>
      <c r="L100" s="139"/>
    </row>
    <row r="101" spans="2:12" ht="16.8" customHeight="1" x14ac:dyDescent="0.3">
      <c r="B101" s="140" t="s">
        <v>28</v>
      </c>
      <c r="C101" s="134"/>
      <c r="D101" s="134"/>
      <c r="E101" s="134"/>
      <c r="F101" s="134"/>
      <c r="G101" s="144">
        <f>(18/29)*(I98/($L$10-I98))</f>
        <v>4.0993750994078648E-2</v>
      </c>
      <c r="H101" s="152"/>
      <c r="I101" s="143"/>
      <c r="J101" s="134"/>
      <c r="K101" s="138" t="s">
        <v>29</v>
      </c>
      <c r="L101" s="139"/>
    </row>
    <row r="102" spans="2:12" ht="16.8" customHeight="1" x14ac:dyDescent="0.3">
      <c r="B102" s="145" t="s">
        <v>30</v>
      </c>
      <c r="C102" s="146"/>
      <c r="D102" s="146"/>
      <c r="E102" s="146"/>
      <c r="F102" s="147" t="s">
        <v>31</v>
      </c>
      <c r="G102" s="147"/>
      <c r="H102" s="147"/>
      <c r="I102" s="148">
        <f>I96/I97%</f>
        <v>27.723794306770909</v>
      </c>
      <c r="J102" s="146" t="s">
        <v>32</v>
      </c>
      <c r="K102" s="149" t="s">
        <v>33</v>
      </c>
      <c r="L102" s="150"/>
    </row>
    <row r="103" spans="2:12" ht="16.8" customHeight="1" x14ac:dyDescent="0.3">
      <c r="B103" s="284"/>
      <c r="C103" s="284"/>
      <c r="D103" s="284"/>
      <c r="E103" s="284"/>
      <c r="F103" s="285"/>
      <c r="G103" s="285"/>
      <c r="H103" s="285"/>
      <c r="I103" s="286"/>
      <c r="J103" s="284"/>
      <c r="K103" s="287"/>
      <c r="L103" s="288"/>
    </row>
    <row r="104" spans="2:12" ht="16.8" customHeight="1" x14ac:dyDescent="0.3">
      <c r="B104" s="279" t="s">
        <v>138</v>
      </c>
    </row>
    <row r="105" spans="2:12" ht="16.8" customHeight="1" x14ac:dyDescent="0.3">
      <c r="B105" s="126" t="s">
        <v>277</v>
      </c>
      <c r="C105" s="127"/>
      <c r="D105" s="278" t="str" cm="1">
        <f t="array" aca="1" ref="D105" ca="1">CELL("adresse",C43)</f>
        <v>$C$43</v>
      </c>
      <c r="E105" s="127"/>
      <c r="F105" s="128"/>
      <c r="G105" s="129"/>
      <c r="H105" s="129"/>
      <c r="I105" s="130"/>
      <c r="J105" s="131"/>
      <c r="K105" s="151"/>
      <c r="L105" s="133"/>
    </row>
    <row r="106" spans="2:12" ht="16.8" customHeight="1" x14ac:dyDescent="0.3">
      <c r="B106" s="3" t="s">
        <v>46</v>
      </c>
      <c r="C106" s="134"/>
      <c r="D106" s="134"/>
      <c r="E106" s="134"/>
      <c r="F106" s="134"/>
      <c r="G106" s="135">
        <f>G43</f>
        <v>1.7240561455442487E-2</v>
      </c>
      <c r="H106" s="136"/>
      <c r="I106" s="137">
        <f>100000*(G106/(G106+B146))</f>
        <v>2737.5203150717061</v>
      </c>
      <c r="J106" s="136" t="s">
        <v>18</v>
      </c>
      <c r="K106" s="138" t="s">
        <v>19</v>
      </c>
      <c r="L106" s="139"/>
    </row>
    <row r="107" spans="2:12" ht="16.8" customHeight="1" x14ac:dyDescent="0.3">
      <c r="B107" s="140" t="s">
        <v>20</v>
      </c>
      <c r="C107" s="134"/>
      <c r="D107" s="134"/>
      <c r="E107" s="134"/>
      <c r="F107" s="134"/>
      <c r="G107" s="141">
        <f>C43</f>
        <v>49.199460858433959</v>
      </c>
      <c r="H107" s="152"/>
      <c r="I107" s="143">
        <f t="shared" ref="I107" si="4">611.14*EXP(17.269*(((273.16+G107)-273.16)/((273.16+G107)-35.86)))</f>
        <v>11859.276189025466</v>
      </c>
      <c r="J107" s="136" t="s">
        <v>18</v>
      </c>
      <c r="K107" s="138" t="s">
        <v>21</v>
      </c>
      <c r="L107" s="139"/>
    </row>
    <row r="108" spans="2:12" ht="16.8" customHeight="1" x14ac:dyDescent="0.3">
      <c r="B108" s="140" t="s">
        <v>22</v>
      </c>
      <c r="C108" s="134"/>
      <c r="D108" s="134"/>
      <c r="E108" s="134"/>
      <c r="F108" s="134"/>
      <c r="G108" s="141">
        <f>VLOOKUP(I43,'Air humide'!$H$26:$K$246,4)</f>
        <v>28.5</v>
      </c>
      <c r="H108" s="142" t="s">
        <v>137</v>
      </c>
      <c r="I108" s="143">
        <f>611.14*EXP(17.269*(((273.16+G108)-273.16)/((273.16+G108)-35.86)))</f>
        <v>3893.1281988867518</v>
      </c>
      <c r="J108" s="136" t="s">
        <v>18</v>
      </c>
      <c r="K108" s="138" t="s">
        <v>23</v>
      </c>
      <c r="L108" s="139"/>
    </row>
    <row r="109" spans="2:12" ht="16.8" customHeight="1" x14ac:dyDescent="0.3">
      <c r="B109" s="140" t="s">
        <v>24</v>
      </c>
      <c r="C109" s="134"/>
      <c r="D109" s="134"/>
      <c r="E109" s="134"/>
      <c r="F109" s="134"/>
      <c r="G109" s="141">
        <f>(31.685*(LOG(I106/613.34))/(1-0.1311*(LOG(I106/613.34))))</f>
        <v>22.500738158526755</v>
      </c>
      <c r="H109" s="152"/>
      <c r="I109" s="143">
        <f>611.14*EXP(17.269*(((273.16+G109)-273.16)/((273.16+G109)-35.86)))</f>
        <v>2726.9908365522747</v>
      </c>
      <c r="J109" s="136" t="s">
        <v>18</v>
      </c>
      <c r="K109" s="138" t="s">
        <v>25</v>
      </c>
      <c r="L109" s="139"/>
    </row>
    <row r="110" spans="2:12" ht="16.8" customHeight="1" x14ac:dyDescent="0.3">
      <c r="B110" s="140"/>
      <c r="C110" s="134"/>
      <c r="D110" s="134"/>
      <c r="E110" s="134"/>
      <c r="F110" s="134"/>
      <c r="G110" s="144"/>
      <c r="H110" s="152"/>
      <c r="I110" s="143"/>
      <c r="J110" s="134"/>
      <c r="K110" s="138"/>
      <c r="L110" s="139"/>
    </row>
    <row r="111" spans="2:12" ht="16.8" customHeight="1" x14ac:dyDescent="0.3">
      <c r="B111" s="140" t="s">
        <v>28</v>
      </c>
      <c r="C111" s="134"/>
      <c r="D111" s="134"/>
      <c r="E111" s="134"/>
      <c r="F111" s="134"/>
      <c r="G111" s="144">
        <f>(18/29)*(I108/($L$10-I108))</f>
        <v>2.4801169829125756E-2</v>
      </c>
      <c r="H111" s="152"/>
      <c r="I111" s="143"/>
      <c r="J111" s="134"/>
      <c r="K111" s="138" t="s">
        <v>29</v>
      </c>
      <c r="L111" s="139"/>
    </row>
    <row r="112" spans="2:12" ht="16.8" customHeight="1" x14ac:dyDescent="0.3">
      <c r="B112" s="145" t="s">
        <v>30</v>
      </c>
      <c r="C112" s="146"/>
      <c r="D112" s="146"/>
      <c r="E112" s="146"/>
      <c r="F112" s="147" t="s">
        <v>31</v>
      </c>
      <c r="G112" s="147"/>
      <c r="H112" s="147"/>
      <c r="I112" s="148">
        <f>I106/I107%</f>
        <v>23.083367580265971</v>
      </c>
      <c r="J112" s="146" t="s">
        <v>32</v>
      </c>
      <c r="K112" s="149" t="s">
        <v>33</v>
      </c>
      <c r="L112" s="150"/>
    </row>
    <row r="113" spans="2:28" ht="16.8" customHeight="1" x14ac:dyDescent="0.3"/>
    <row r="114" spans="2:28" ht="16.8" customHeight="1" x14ac:dyDescent="0.3">
      <c r="B114" s="126" t="s">
        <v>278</v>
      </c>
      <c r="C114" s="127"/>
      <c r="D114" s="278" t="str" cm="1">
        <f t="array" aca="1" ref="D114" ca="1">CELL("adresse",C51)</f>
        <v>$C$51</v>
      </c>
      <c r="E114" s="127"/>
      <c r="F114" s="128"/>
      <c r="G114" s="129"/>
      <c r="H114" s="129"/>
      <c r="I114" s="130"/>
      <c r="J114" s="131"/>
      <c r="K114" s="151"/>
      <c r="L114" s="133"/>
    </row>
    <row r="115" spans="2:28" ht="16.8" customHeight="1" x14ac:dyDescent="0.3">
      <c r="B115" s="3" t="s">
        <v>46</v>
      </c>
      <c r="C115" s="134"/>
      <c r="D115" s="134"/>
      <c r="E115" s="134"/>
      <c r="F115" s="134"/>
      <c r="G115" s="135">
        <f>G51</f>
        <v>0.02</v>
      </c>
      <c r="H115" s="136"/>
      <c r="I115" s="137">
        <f>100000*(G115/(G115+B146))</f>
        <v>3161.820565629851</v>
      </c>
      <c r="J115" s="136" t="s">
        <v>18</v>
      </c>
      <c r="K115" s="138" t="s">
        <v>19</v>
      </c>
      <c r="L115" s="139"/>
    </row>
    <row r="116" spans="2:28" ht="16.8" customHeight="1" x14ac:dyDescent="0.3">
      <c r="B116" s="140" t="s">
        <v>20</v>
      </c>
      <c r="C116" s="134"/>
      <c r="D116" s="134"/>
      <c r="E116" s="134"/>
      <c r="F116" s="134"/>
      <c r="G116" s="141">
        <f>C51</f>
        <v>52.173988106656424</v>
      </c>
      <c r="H116" s="152"/>
      <c r="I116" s="143">
        <f t="shared" ref="I116" si="5">611.14*EXP(17.269*(((273.16+G116)-273.16)/((273.16+G116)-35.86)))</f>
        <v>13736.924303943022</v>
      </c>
      <c r="J116" s="136" t="s">
        <v>18</v>
      </c>
      <c r="K116" s="138" t="s">
        <v>21</v>
      </c>
      <c r="L116" s="139"/>
    </row>
    <row r="117" spans="2:28" ht="16.8" customHeight="1" x14ac:dyDescent="0.3">
      <c r="B117" s="140" t="s">
        <v>22</v>
      </c>
      <c r="C117" s="134"/>
      <c r="D117" s="134"/>
      <c r="E117" s="134"/>
      <c r="F117" s="134"/>
      <c r="G117" s="141">
        <f>VLOOKUP(I51,'Air humide'!$H$26:$K$246,4)</f>
        <v>30.5</v>
      </c>
      <c r="H117" s="142" t="s">
        <v>137</v>
      </c>
      <c r="I117" s="143">
        <f>611.14*EXP(17.269*(((273.16+G117)-273.16)/((273.16+G117)-35.86)))</f>
        <v>4368.2122686399443</v>
      </c>
      <c r="J117" s="136" t="s">
        <v>18</v>
      </c>
      <c r="K117" s="138" t="s">
        <v>23</v>
      </c>
      <c r="L117" s="139"/>
    </row>
    <row r="118" spans="2:28" ht="16.8" customHeight="1" x14ac:dyDescent="0.3">
      <c r="B118" s="140" t="s">
        <v>24</v>
      </c>
      <c r="C118" s="134"/>
      <c r="D118" s="134"/>
      <c r="E118" s="134"/>
      <c r="F118" s="134"/>
      <c r="G118" s="141">
        <f>(31.685*(LOG(I115/613.34))/(1-0.1311*(LOG(I115/613.34))))</f>
        <v>24.891409165739123</v>
      </c>
      <c r="H118" s="152"/>
      <c r="I118" s="143">
        <f>611.14*EXP(17.269*(((273.16+G118)-273.16)/((273.16+G118)-35.86)))</f>
        <v>3148.7984503646185</v>
      </c>
      <c r="J118" s="136" t="s">
        <v>18</v>
      </c>
      <c r="K118" s="138" t="s">
        <v>25</v>
      </c>
      <c r="L118" s="139"/>
    </row>
    <row r="119" spans="2:28" ht="16.8" customHeight="1" x14ac:dyDescent="0.3">
      <c r="B119" s="140"/>
      <c r="C119" s="134"/>
      <c r="D119" s="134"/>
      <c r="E119" s="134"/>
      <c r="F119" s="134"/>
      <c r="G119" s="144"/>
      <c r="H119" s="152"/>
      <c r="I119" s="143"/>
      <c r="J119" s="134"/>
      <c r="K119" s="138"/>
      <c r="L119" s="139"/>
    </row>
    <row r="120" spans="2:28" ht="16.8" customHeight="1" x14ac:dyDescent="0.3">
      <c r="B120" s="140" t="s">
        <v>28</v>
      </c>
      <c r="C120" s="134"/>
      <c r="D120" s="134"/>
      <c r="E120" s="134"/>
      <c r="F120" s="134"/>
      <c r="G120" s="144">
        <f>(18/29)*(I117/($L$10-I117))</f>
        <v>2.7964046975796006E-2</v>
      </c>
      <c r="H120" s="152"/>
      <c r="I120" s="143"/>
      <c r="J120" s="134"/>
      <c r="K120" s="138" t="s">
        <v>29</v>
      </c>
      <c r="L120" s="139"/>
    </row>
    <row r="121" spans="2:28" ht="16.8" customHeight="1" x14ac:dyDescent="0.3">
      <c r="B121" s="145" t="s">
        <v>30</v>
      </c>
      <c r="C121" s="146"/>
      <c r="D121" s="146"/>
      <c r="E121" s="146"/>
      <c r="F121" s="147" t="s">
        <v>31</v>
      </c>
      <c r="G121" s="147"/>
      <c r="H121" s="147"/>
      <c r="I121" s="148">
        <f>I115/I116%</f>
        <v>23.016946848300588</v>
      </c>
      <c r="J121" s="146" t="s">
        <v>32</v>
      </c>
      <c r="K121" s="149" t="s">
        <v>33</v>
      </c>
      <c r="L121" s="150"/>
    </row>
    <row r="122" spans="2:28" ht="16.8" customHeight="1" x14ac:dyDescent="0.3"/>
    <row r="123" spans="2:28" ht="16.8" customHeight="1" x14ac:dyDescent="0.3">
      <c r="B123" s="126" t="s">
        <v>125</v>
      </c>
      <c r="C123" s="127"/>
      <c r="D123" s="278" t="str" cm="1">
        <f t="array" aca="1" ref="D123" ca="1">CELL("adresse",C59)</f>
        <v>$C$59</v>
      </c>
      <c r="E123" s="127"/>
      <c r="F123" s="128"/>
      <c r="G123" s="129"/>
      <c r="H123" s="129"/>
      <c r="I123" s="130"/>
      <c r="J123" s="131"/>
      <c r="K123" s="151"/>
      <c r="L123" s="133"/>
    </row>
    <row r="124" spans="2:28" ht="16.8" customHeight="1" x14ac:dyDescent="0.3">
      <c r="B124" s="3" t="s">
        <v>46</v>
      </c>
      <c r="C124" s="134"/>
      <c r="D124" s="134"/>
      <c r="E124" s="134"/>
      <c r="F124" s="134"/>
      <c r="G124" s="135">
        <f>G59</f>
        <v>2E-3</v>
      </c>
      <c r="H124" s="136"/>
      <c r="I124" s="137">
        <f>100000*(G124/(G124+B146))</f>
        <v>325.44298754152442</v>
      </c>
      <c r="J124" s="136" t="s">
        <v>18</v>
      </c>
      <c r="K124" s="138" t="s">
        <v>19</v>
      </c>
      <c r="L124" s="139"/>
    </row>
    <row r="125" spans="2:28" ht="16.8" customHeight="1" x14ac:dyDescent="0.3">
      <c r="B125" s="140" t="s">
        <v>20</v>
      </c>
      <c r="C125" s="134"/>
      <c r="D125" s="134"/>
      <c r="E125" s="134"/>
      <c r="F125" s="134"/>
      <c r="G125" s="141">
        <f>C59</f>
        <v>28.986800963543715</v>
      </c>
      <c r="H125" s="152"/>
      <c r="I125" s="143">
        <f t="shared" ref="I125" si="6">611.14*EXP(17.269*(((273.16+G125)-273.16)/((273.16+G125)-35.86)))</f>
        <v>4004.4153502397812</v>
      </c>
      <c r="J125" s="136" t="s">
        <v>18</v>
      </c>
      <c r="K125" s="138" t="s">
        <v>21</v>
      </c>
      <c r="L125" s="139"/>
    </row>
    <row r="126" spans="2:28" ht="16.8" customHeight="1" x14ac:dyDescent="0.3">
      <c r="B126" s="140" t="s">
        <v>22</v>
      </c>
      <c r="C126" s="134"/>
      <c r="D126" s="134"/>
      <c r="E126" s="134"/>
      <c r="F126" s="134"/>
      <c r="G126" s="141">
        <f>IF(G125&gt;50,VLOOKUP(I82,'Air humide'!$H$26:$K$246,4),G125*ATAN(0.151977*SQRT(I130+8.313659))+(0.00391838*(SQRT(I130^3))*ATAN(0.023101*I130))-ATAN(I130-1.676331)+ATAN(G125+I130)-4.686035)</f>
        <v>11.466033086146187</v>
      </c>
      <c r="H126" s="142" t="s">
        <v>45</v>
      </c>
      <c r="I126" s="143">
        <f>611.14*EXP(17.269*(((273.16+G126)-273.16)/((273.16+G126)-35.86)))</f>
        <v>1354.6284683087104</v>
      </c>
      <c r="J126" s="136" t="s">
        <v>18</v>
      </c>
      <c r="K126" s="138" t="s">
        <v>23</v>
      </c>
      <c r="L126" s="139"/>
    </row>
    <row r="127" spans="2:28" ht="16.8" customHeight="1" x14ac:dyDescent="0.3">
      <c r="B127" s="140" t="s">
        <v>24</v>
      </c>
      <c r="C127" s="134"/>
      <c r="D127" s="134"/>
      <c r="E127" s="134"/>
      <c r="F127" s="134"/>
      <c r="G127" s="141">
        <f>(31.685*(LOG(I124/613.34))/(1-0.1311*(LOG(I124/613.34))))+1</f>
        <v>-7.4168493105797353</v>
      </c>
      <c r="H127" s="152"/>
      <c r="I127" s="143">
        <f>611.14*EXP(17.269*(((273.16+G127)-273.16)/((273.16+G127)-35.86)))</f>
        <v>350.08171945817548</v>
      </c>
      <c r="J127" s="136" t="s">
        <v>18</v>
      </c>
      <c r="K127" s="138" t="s">
        <v>25</v>
      </c>
      <c r="L127" s="139"/>
    </row>
    <row r="128" spans="2:28" ht="16.8" customHeight="1" x14ac:dyDescent="0.3">
      <c r="B128" s="140"/>
      <c r="C128" s="134"/>
      <c r="D128" s="134"/>
      <c r="E128" s="134"/>
      <c r="F128" s="134"/>
      <c r="G128" s="144"/>
      <c r="H128" s="152"/>
      <c r="I128" s="143"/>
      <c r="J128" s="134"/>
      <c r="K128" s="138"/>
      <c r="L128" s="139"/>
      <c r="AB128" s="214"/>
    </row>
    <row r="129" spans="2:29" ht="16.8" customHeight="1" x14ac:dyDescent="0.3">
      <c r="B129" s="140" t="s">
        <v>28</v>
      </c>
      <c r="C129" s="134"/>
      <c r="D129" s="134"/>
      <c r="E129" s="134"/>
      <c r="F129" s="134"/>
      <c r="G129" s="144">
        <f>(18/29)*(I126/($L$10-I126))</f>
        <v>8.4105306802298718E-3</v>
      </c>
      <c r="H129" s="152"/>
      <c r="I129" s="143"/>
      <c r="J129" s="134"/>
      <c r="K129" s="138" t="s">
        <v>29</v>
      </c>
      <c r="L129" s="139"/>
      <c r="N129" s="214"/>
      <c r="O129" s="214"/>
      <c r="P129" s="214"/>
      <c r="Q129" s="214"/>
      <c r="R129" s="214"/>
      <c r="S129" s="214"/>
    </row>
    <row r="130" spans="2:29" x14ac:dyDescent="0.3">
      <c r="B130" s="145" t="s">
        <v>30</v>
      </c>
      <c r="C130" s="146"/>
      <c r="D130" s="146"/>
      <c r="E130" s="146"/>
      <c r="F130" s="147" t="s">
        <v>31</v>
      </c>
      <c r="G130" s="147"/>
      <c r="H130" s="147"/>
      <c r="I130" s="148">
        <f>I124/I125%</f>
        <v>8.1271036862356745</v>
      </c>
      <c r="J130" s="146" t="s">
        <v>32</v>
      </c>
      <c r="K130" s="149" t="s">
        <v>33</v>
      </c>
      <c r="L130" s="150"/>
      <c r="M130" s="214"/>
      <c r="AC130" s="214"/>
    </row>
    <row r="131" spans="2:29" s="214" customFormat="1" x14ac:dyDescent="0.3">
      <c r="B131" s="254"/>
      <c r="C131" s="250"/>
      <c r="D131" s="250"/>
      <c r="E131" s="250"/>
      <c r="F131" s="251"/>
      <c r="G131" s="251"/>
      <c r="H131" s="251"/>
      <c r="I131" s="252"/>
      <c r="J131" s="250"/>
      <c r="K131" s="253"/>
      <c r="L131" s="255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</row>
    <row r="132" spans="2:29" x14ac:dyDescent="0.3">
      <c r="B132" s="126" t="s">
        <v>136</v>
      </c>
      <c r="C132" s="127"/>
      <c r="D132" s="278" t="str" cm="1">
        <f t="array" aca="1" ref="D132" ca="1">CELL("adresse",C62)</f>
        <v>$C$62</v>
      </c>
      <c r="E132" s="127"/>
      <c r="F132" s="128"/>
      <c r="G132" s="129"/>
      <c r="H132" s="129"/>
      <c r="I132" s="130"/>
      <c r="J132" s="131"/>
      <c r="K132" s="151"/>
      <c r="L132" s="133"/>
    </row>
    <row r="133" spans="2:29" x14ac:dyDescent="0.3">
      <c r="B133" s="3" t="s">
        <v>46</v>
      </c>
      <c r="C133" s="134"/>
      <c r="D133" s="134"/>
      <c r="E133" s="134"/>
      <c r="F133" s="134"/>
      <c r="G133" s="135">
        <f>G62</f>
        <v>1.1972168436632746E-2</v>
      </c>
      <c r="H133" s="136"/>
      <c r="I133" s="137">
        <f>100000*(G133/(G133+B146))</f>
        <v>1917.0218832051021</v>
      </c>
      <c r="J133" s="136" t="s">
        <v>18</v>
      </c>
      <c r="K133" s="138" t="s">
        <v>19</v>
      </c>
      <c r="L133" s="139"/>
    </row>
    <row r="134" spans="2:29" x14ac:dyDescent="0.3">
      <c r="B134" s="140" t="s">
        <v>20</v>
      </c>
      <c r="C134" s="134"/>
      <c r="D134" s="134"/>
      <c r="E134" s="134"/>
      <c r="F134" s="134"/>
      <c r="G134" s="141">
        <f>C62</f>
        <v>42.167380563900487</v>
      </c>
      <c r="H134" s="152"/>
      <c r="I134" s="143">
        <f t="shared" ref="I134" si="7">611.14*EXP(17.269*(((273.16+G134)-273.16)/((273.16+G134)-35.86)))</f>
        <v>8274.68160263551</v>
      </c>
      <c r="J134" s="136" t="s">
        <v>18</v>
      </c>
      <c r="K134" s="138" t="s">
        <v>21</v>
      </c>
      <c r="L134" s="139"/>
    </row>
    <row r="135" spans="2:29" x14ac:dyDescent="0.3">
      <c r="B135" s="140" t="s">
        <v>22</v>
      </c>
      <c r="C135" s="134"/>
      <c r="D135" s="134"/>
      <c r="E135" s="134"/>
      <c r="F135" s="134"/>
      <c r="G135" s="141">
        <f>IF(G134&gt;50,VLOOKUP(I91,'Air humide'!$H$26:$K$246,4),G134*ATAN(0.151977*SQRT(I139+8.313659))+(0.00391838*(SQRT(I139^3))*ATAN(0.023101*I139))-ATAN(I139-1.676331)+ATAN(G134+I139)-4.686035)</f>
        <v>25.332821719762066</v>
      </c>
      <c r="H135" s="142" t="s">
        <v>137</v>
      </c>
      <c r="I135" s="143">
        <f>611.14*EXP(17.269*(((273.16+G135)-273.16)/((273.16+G135)-35.86)))</f>
        <v>3232.6099715867217</v>
      </c>
      <c r="J135" s="136" t="s">
        <v>18</v>
      </c>
      <c r="K135" s="138" t="s">
        <v>23</v>
      </c>
      <c r="L135" s="139"/>
    </row>
    <row r="136" spans="2:29" x14ac:dyDescent="0.3">
      <c r="B136" s="140" t="s">
        <v>24</v>
      </c>
      <c r="C136" s="134"/>
      <c r="D136" s="134"/>
      <c r="E136" s="134"/>
      <c r="F136" s="134"/>
      <c r="G136" s="141">
        <f>(31.685*(LOG(I133/613.34))/(1-0.1311*(LOG(I133/613.34))))</f>
        <v>16.769829949050038</v>
      </c>
      <c r="H136" s="152"/>
      <c r="I136" s="143">
        <f>611.14*EXP(17.269*(((273.16+G136)-273.16)/((273.16+G136)-35.86)))</f>
        <v>1910.5817732304793</v>
      </c>
      <c r="J136" s="136" t="s">
        <v>18</v>
      </c>
      <c r="K136" s="138" t="s">
        <v>25</v>
      </c>
      <c r="L136" s="139"/>
    </row>
    <row r="137" spans="2:29" x14ac:dyDescent="0.3">
      <c r="B137" s="140"/>
      <c r="C137" s="134"/>
      <c r="D137" s="134"/>
      <c r="E137" s="134"/>
      <c r="F137" s="134"/>
      <c r="G137" s="144"/>
      <c r="H137" s="152"/>
      <c r="I137" s="143"/>
      <c r="J137" s="134"/>
      <c r="K137" s="138"/>
      <c r="L137" s="139"/>
    </row>
    <row r="138" spans="2:29" x14ac:dyDescent="0.3">
      <c r="B138" s="140" t="s">
        <v>28</v>
      </c>
      <c r="C138" s="134"/>
      <c r="D138" s="134"/>
      <c r="E138" s="134"/>
      <c r="F138" s="134"/>
      <c r="G138" s="144">
        <f>(18/29)*(I135/($L$10-I135))</f>
        <v>2.0454671029932946E-2</v>
      </c>
      <c r="H138" s="152"/>
      <c r="I138" s="143"/>
      <c r="J138" s="134"/>
      <c r="K138" s="138" t="s">
        <v>29</v>
      </c>
      <c r="L138" s="139"/>
    </row>
    <row r="139" spans="2:29" x14ac:dyDescent="0.3">
      <c r="B139" s="145" t="s">
        <v>30</v>
      </c>
      <c r="C139" s="146"/>
      <c r="D139" s="146"/>
      <c r="E139" s="146"/>
      <c r="F139" s="147" t="s">
        <v>31</v>
      </c>
      <c r="G139" s="147"/>
      <c r="H139" s="147"/>
      <c r="I139" s="148">
        <f>I133/I134%</f>
        <v>23.167319001066154</v>
      </c>
      <c r="J139" s="146" t="s">
        <v>32</v>
      </c>
      <c r="K139" s="149" t="s">
        <v>33</v>
      </c>
      <c r="L139" s="150"/>
    </row>
    <row r="140" spans="2:29" x14ac:dyDescent="0.3">
      <c r="B140" s="289"/>
      <c r="C140" s="289"/>
      <c r="D140" s="289"/>
      <c r="E140" s="289"/>
      <c r="F140" s="289"/>
      <c r="G140" s="289"/>
      <c r="H140" s="289"/>
      <c r="I140" s="289"/>
      <c r="J140" s="289"/>
      <c r="K140" s="289"/>
      <c r="L140" s="289"/>
    </row>
    <row r="141" spans="2:29" x14ac:dyDescent="0.3">
      <c r="B141" s="329" t="s">
        <v>229</v>
      </c>
    </row>
    <row r="145" spans="2:10" x14ac:dyDescent="0.3">
      <c r="B145" s="7" t="s">
        <v>144</v>
      </c>
    </row>
    <row r="146" spans="2:10" x14ac:dyDescent="0.3">
      <c r="B146" s="52">
        <v>0.61254696415752785</v>
      </c>
      <c r="C146" t="s">
        <v>145</v>
      </c>
    </row>
    <row r="147" spans="2:10" x14ac:dyDescent="0.3">
      <c r="B147" s="242">
        <f>18.016/28.966</f>
        <v>0.62197058620451551</v>
      </c>
      <c r="C147" s="290" t="s">
        <v>146</v>
      </c>
    </row>
    <row r="149" spans="2:10" x14ac:dyDescent="0.3">
      <c r="B149" s="359"/>
      <c r="C149" s="289"/>
      <c r="D149" s="289"/>
      <c r="E149" s="289"/>
      <c r="F149" s="289"/>
      <c r="G149" s="289"/>
      <c r="H149" s="319"/>
    </row>
    <row r="150" spans="2:10" ht="18" x14ac:dyDescent="0.3">
      <c r="B150" s="366" t="s">
        <v>291</v>
      </c>
      <c r="H150" s="321"/>
    </row>
    <row r="151" spans="2:10" ht="15.6" x14ac:dyDescent="0.3">
      <c r="B151" s="366"/>
      <c r="C151" s="315"/>
      <c r="D151" s="315"/>
      <c r="E151" s="315"/>
      <c r="F151" s="315"/>
      <c r="G151" s="2"/>
      <c r="H151" s="321"/>
    </row>
    <row r="152" spans="2:10" ht="15.6" x14ac:dyDescent="0.3">
      <c r="B152" s="320" t="s">
        <v>290</v>
      </c>
      <c r="C152" s="315"/>
      <c r="D152" s="315"/>
      <c r="E152" s="315"/>
      <c r="F152" s="315"/>
      <c r="G152" s="2"/>
      <c r="H152" s="321"/>
    </row>
    <row r="153" spans="2:10" ht="15.6" x14ac:dyDescent="0.3">
      <c r="B153" s="320" t="s">
        <v>242</v>
      </c>
      <c r="C153" s="315"/>
      <c r="D153" s="315"/>
      <c r="E153" s="315"/>
      <c r="F153" s="315"/>
      <c r="G153" s="2"/>
      <c r="H153" s="321"/>
    </row>
    <row r="154" spans="2:10" ht="15.6" x14ac:dyDescent="0.3">
      <c r="B154" s="320" t="s">
        <v>236</v>
      </c>
      <c r="C154" s="315"/>
      <c r="D154" s="315"/>
      <c r="E154" s="315"/>
      <c r="F154" s="315"/>
      <c r="G154" s="2"/>
      <c r="H154" s="321"/>
    </row>
    <row r="155" spans="2:10" ht="18" x14ac:dyDescent="0.3">
      <c r="B155" s="320" t="s">
        <v>248</v>
      </c>
      <c r="C155" s="315"/>
      <c r="D155" s="315"/>
      <c r="E155" s="315"/>
      <c r="F155" s="315"/>
      <c r="G155" s="2"/>
      <c r="H155" s="321"/>
    </row>
    <row r="156" spans="2:10" ht="15.6" x14ac:dyDescent="0.3">
      <c r="B156" s="320"/>
      <c r="C156" s="315"/>
      <c r="D156" s="315"/>
      <c r="E156" s="315"/>
      <c r="F156" s="315"/>
      <c r="G156" s="2"/>
      <c r="H156" s="321"/>
    </row>
    <row r="157" spans="2:10" ht="15.6" x14ac:dyDescent="0.3">
      <c r="B157" s="353" t="s">
        <v>237</v>
      </c>
      <c r="C157" s="354">
        <f>-530.66*((G28/100)^3)+652.06*((G28/100)^2)-366.33*(G28/100)+99.458</f>
        <v>43.020280131342432</v>
      </c>
      <c r="D157" s="361" t="s">
        <v>202</v>
      </c>
      <c r="E157" s="355">
        <f>C27-C157-((C27-G89)/2)</f>
        <v>14.999952140301652</v>
      </c>
      <c r="F157" s="350" t="str">
        <f>IF(E157&gt;25,"Very Sticky !!!","")</f>
        <v/>
      </c>
      <c r="G157" s="2"/>
      <c r="H157" s="321"/>
      <c r="J157" s="416"/>
    </row>
    <row r="158" spans="2:10" ht="15.6" x14ac:dyDescent="0.3">
      <c r="B158" s="353" t="s">
        <v>238</v>
      </c>
      <c r="C158" s="354">
        <f>-530.66*((G44/100)^3)+652.06*((G44/100)^2)-366.33*(G44/100)+99.458</f>
        <v>43.114182153699311</v>
      </c>
      <c r="D158" s="361" t="s">
        <v>202</v>
      </c>
      <c r="E158" s="355">
        <f>J9-C158</f>
        <v>-15.114182153699311</v>
      </c>
      <c r="F158" s="350" t="str">
        <f>IF(E158&gt;25,"Very Sticky !!!","")</f>
        <v/>
      </c>
      <c r="G158" s="2"/>
      <c r="H158" s="321"/>
    </row>
    <row r="159" spans="2:10" ht="15.6" x14ac:dyDescent="0.3">
      <c r="B159" s="349"/>
      <c r="C159" s="362"/>
      <c r="D159" s="363"/>
      <c r="E159" s="363"/>
      <c r="F159" s="350"/>
      <c r="G159" s="2"/>
      <c r="H159" s="321"/>
    </row>
    <row r="160" spans="2:10" ht="15.6" x14ac:dyDescent="0.3">
      <c r="B160" s="351"/>
      <c r="C160" s="364" t="s">
        <v>247</v>
      </c>
      <c r="D160" s="362" t="s">
        <v>249</v>
      </c>
      <c r="E160" s="315"/>
      <c r="F160" s="315"/>
      <c r="G160" s="2"/>
      <c r="H160" s="321"/>
    </row>
    <row r="161" spans="2:9" ht="15.6" x14ac:dyDescent="0.3">
      <c r="B161" s="351"/>
      <c r="C161" s="365" t="s">
        <v>250</v>
      </c>
      <c r="D161" s="362" t="s">
        <v>253</v>
      </c>
      <c r="E161" s="315"/>
      <c r="F161" s="315"/>
      <c r="G161" s="2"/>
      <c r="H161" s="321"/>
    </row>
    <row r="162" spans="2:9" ht="15.6" x14ac:dyDescent="0.3">
      <c r="B162" s="351"/>
      <c r="C162" s="365" t="s">
        <v>251</v>
      </c>
      <c r="D162" s="362" t="s">
        <v>254</v>
      </c>
      <c r="E162" s="315"/>
      <c r="F162" s="315"/>
      <c r="G162" s="2"/>
      <c r="H162" s="347"/>
      <c r="I162" s="316"/>
    </row>
    <row r="163" spans="2:9" ht="15.6" x14ac:dyDescent="0.3">
      <c r="B163" s="351"/>
      <c r="C163" s="365" t="s">
        <v>240</v>
      </c>
      <c r="D163" s="362" t="s">
        <v>252</v>
      </c>
      <c r="E163" s="315"/>
      <c r="F163" s="315"/>
      <c r="G163" s="2"/>
      <c r="H163" s="347"/>
      <c r="I163" s="316"/>
    </row>
    <row r="164" spans="2:9" ht="15.6" x14ac:dyDescent="0.3">
      <c r="B164" s="351"/>
      <c r="C164" s="365" t="s">
        <v>255</v>
      </c>
      <c r="D164" s="362" t="s">
        <v>256</v>
      </c>
      <c r="E164" s="315"/>
      <c r="F164" s="315"/>
      <c r="G164" s="2"/>
      <c r="H164" s="347"/>
      <c r="I164" s="316"/>
    </row>
    <row r="165" spans="2:9" ht="15.6" x14ac:dyDescent="0.3">
      <c r="B165" s="348"/>
      <c r="C165" s="315"/>
      <c r="D165" s="315"/>
      <c r="E165" s="315"/>
      <c r="F165" s="315"/>
      <c r="G165" s="2"/>
      <c r="H165" s="347"/>
      <c r="I165" s="316"/>
    </row>
    <row r="166" spans="2:9" ht="15.6" x14ac:dyDescent="0.3">
      <c r="B166" s="346" t="s">
        <v>243</v>
      </c>
      <c r="C166" s="315"/>
      <c r="D166" s="315"/>
      <c r="E166" s="367"/>
      <c r="F166" s="315"/>
      <c r="G166" s="2"/>
      <c r="H166" s="321"/>
      <c r="I166" s="316"/>
    </row>
    <row r="167" spans="2:9" ht="15.6" x14ac:dyDescent="0.3">
      <c r="B167" s="346" t="s">
        <v>204</v>
      </c>
      <c r="C167" s="315"/>
      <c r="D167" s="315"/>
      <c r="E167" s="315"/>
      <c r="F167" s="315"/>
      <c r="G167" s="2"/>
      <c r="H167" s="321"/>
    </row>
    <row r="168" spans="2:9" ht="15.6" x14ac:dyDescent="0.3">
      <c r="B168" s="346" t="s">
        <v>257</v>
      </c>
      <c r="C168" s="315"/>
      <c r="D168" s="315"/>
      <c r="E168" s="315"/>
      <c r="F168" s="315"/>
      <c r="G168" s="2"/>
      <c r="H168" s="321"/>
    </row>
    <row r="169" spans="2:9" ht="15.6" x14ac:dyDescent="0.3">
      <c r="B169" s="346" t="s">
        <v>241</v>
      </c>
      <c r="C169" s="315"/>
      <c r="D169" s="315"/>
      <c r="E169" s="315"/>
      <c r="F169" s="315"/>
      <c r="G169" s="2"/>
      <c r="H169" s="321"/>
    </row>
    <row r="170" spans="2:9" ht="15.6" x14ac:dyDescent="0.3">
      <c r="B170" s="346" t="s">
        <v>288</v>
      </c>
      <c r="C170" s="315"/>
      <c r="D170" s="315"/>
      <c r="E170" s="315"/>
      <c r="F170" s="315"/>
      <c r="G170" s="2"/>
      <c r="H170" s="321"/>
    </row>
    <row r="171" spans="2:9" ht="15.6" x14ac:dyDescent="0.3">
      <c r="B171" s="346"/>
      <c r="C171" s="315"/>
      <c r="D171" s="315"/>
      <c r="E171" s="315"/>
      <c r="F171" s="315"/>
      <c r="G171" s="2"/>
      <c r="H171" s="321"/>
    </row>
    <row r="172" spans="2:9" ht="15.6" x14ac:dyDescent="0.3">
      <c r="B172" s="346" t="s">
        <v>206</v>
      </c>
      <c r="C172" s="315"/>
      <c r="D172" s="356">
        <f>C27-((C27-G89)/2)</f>
        <v>58.020232271644083</v>
      </c>
      <c r="E172" s="362"/>
      <c r="F172" s="315"/>
      <c r="G172" s="2"/>
      <c r="H172" s="321"/>
    </row>
    <row r="173" spans="2:9" ht="15.6" x14ac:dyDescent="0.3">
      <c r="B173" s="346" t="s">
        <v>213</v>
      </c>
      <c r="C173" s="315"/>
      <c r="D173" s="356">
        <f>J9</f>
        <v>28</v>
      </c>
      <c r="E173" s="315"/>
      <c r="F173" s="315"/>
      <c r="G173" s="2"/>
      <c r="H173" s="321"/>
    </row>
    <row r="174" spans="2:9" x14ac:dyDescent="0.3">
      <c r="B174" s="357"/>
      <c r="C174" s="368"/>
      <c r="D174" s="358"/>
      <c r="E174" s="358"/>
      <c r="F174" s="358"/>
      <c r="G174" s="358"/>
      <c r="H174" s="322"/>
    </row>
    <row r="175" spans="2:9" ht="15.6" x14ac:dyDescent="0.3">
      <c r="B175" s="350"/>
    </row>
  </sheetData>
  <conditionalFormatting sqref="E157:E158">
    <cfRule type="cellIs" dxfId="3" priority="1" operator="greaterThan">
      <formula>10</formula>
    </cfRule>
    <cfRule type="cellIs" dxfId="2" priority="2" operator="lessThan">
      <formula>10</formula>
    </cfRule>
    <cfRule type="cellIs" dxfId="1" priority="3" operator="greaterThan">
      <formula>25</formula>
    </cfRule>
  </conditionalFormatting>
  <conditionalFormatting sqref="F157">
    <cfRule type="cellIs" dxfId="0" priority="4" operator="greaterThan">
      <formula>$E$157&gt;25</formula>
    </cfRule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DA94F-3860-452B-A09B-AA6D06E7588D}">
  <sheetPr codeName="Feuil5">
    <tabColor theme="5"/>
    <pageSetUpPr fitToPage="1"/>
  </sheetPr>
  <dimension ref="B127:Q131"/>
  <sheetViews>
    <sheetView showGridLines="0" topLeftCell="A97" zoomScale="80" zoomScaleNormal="80" workbookViewId="0">
      <selection activeCell="F133" sqref="F133"/>
    </sheetView>
  </sheetViews>
  <sheetFormatPr baseColWidth="10" defaultRowHeight="14.4" x14ac:dyDescent="0.3"/>
  <cols>
    <col min="21" max="21" width="2" customWidth="1"/>
  </cols>
  <sheetData>
    <row r="127" spans="2:17" ht="18" x14ac:dyDescent="0.35">
      <c r="B127" s="432" t="s">
        <v>286</v>
      </c>
      <c r="C127" s="291" t="s">
        <v>150</v>
      </c>
      <c r="D127" s="292" t="s">
        <v>151</v>
      </c>
      <c r="E127" s="293"/>
      <c r="F127" s="293"/>
      <c r="G127" s="293"/>
      <c r="H127" s="293"/>
      <c r="I127" s="293"/>
      <c r="J127" s="293"/>
      <c r="K127" s="294" t="s">
        <v>150</v>
      </c>
      <c r="L127" s="295" t="s">
        <v>295</v>
      </c>
    </row>
    <row r="128" spans="2:17" ht="18" x14ac:dyDescent="0.35">
      <c r="B128" s="432" t="s">
        <v>297</v>
      </c>
      <c r="C128" s="291" t="s">
        <v>122</v>
      </c>
      <c r="D128" s="292" t="s">
        <v>123</v>
      </c>
      <c r="E128" s="293"/>
      <c r="F128" s="293"/>
      <c r="G128" s="293"/>
      <c r="H128" s="293"/>
      <c r="I128" s="429" t="s">
        <v>293</v>
      </c>
      <c r="J128" s="430"/>
      <c r="K128" s="430" t="s">
        <v>122</v>
      </c>
      <c r="L128" s="431" t="s">
        <v>294</v>
      </c>
      <c r="M128" s="417"/>
      <c r="N128" s="417"/>
      <c r="O128" s="418"/>
      <c r="P128" s="420"/>
      <c r="Q128" s="419"/>
    </row>
    <row r="129" spans="3:12" ht="15.6" x14ac:dyDescent="0.3">
      <c r="C129" s="291" t="s">
        <v>118</v>
      </c>
      <c r="D129" s="292" t="s">
        <v>120</v>
      </c>
      <c r="E129" s="293"/>
      <c r="F129" s="293"/>
      <c r="G129" s="293"/>
      <c r="H129" s="293"/>
      <c r="I129" s="293"/>
      <c r="J129" s="293"/>
      <c r="K129" s="296" t="s">
        <v>118</v>
      </c>
      <c r="L129" s="297" t="s">
        <v>296</v>
      </c>
    </row>
    <row r="130" spans="3:12" ht="15.6" x14ac:dyDescent="0.3">
      <c r="C130" s="291" t="s">
        <v>119</v>
      </c>
      <c r="D130" s="292" t="s">
        <v>121</v>
      </c>
      <c r="E130" s="293"/>
      <c r="F130" s="293"/>
      <c r="G130" s="293"/>
      <c r="H130" s="293"/>
      <c r="I130" s="293"/>
      <c r="J130" s="293"/>
      <c r="K130" s="296" t="s">
        <v>119</v>
      </c>
      <c r="L130" s="297" t="s">
        <v>148</v>
      </c>
    </row>
    <row r="131" spans="3:12" ht="15.6" x14ac:dyDescent="0.3">
      <c r="C131" s="291" t="s">
        <v>124</v>
      </c>
      <c r="D131" s="298">
        <v>0.5</v>
      </c>
      <c r="E131" s="293"/>
      <c r="F131" s="293"/>
      <c r="G131" s="293"/>
      <c r="H131" s="293"/>
      <c r="I131" s="293"/>
      <c r="J131" s="293"/>
      <c r="K131" s="296" t="s">
        <v>124</v>
      </c>
      <c r="L131" s="299">
        <v>0.23</v>
      </c>
    </row>
  </sheetData>
  <printOptions horizontalCentered="1"/>
  <pageMargins left="0.25" right="0.25" top="0.75" bottom="0.75" header="0.3" footer="0.3"/>
  <pageSetup paperSize="9" scale="38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2D782-A0E7-4C15-B82E-1B0DF723A4FC}">
  <sheetPr codeName="Feuil6">
    <pageSetUpPr fitToPage="1"/>
  </sheetPr>
  <dimension ref="A1:B111"/>
  <sheetViews>
    <sheetView showGridLines="0" zoomScale="85" zoomScaleNormal="85" workbookViewId="0">
      <selection activeCell="M22" sqref="M22"/>
    </sheetView>
  </sheetViews>
  <sheetFormatPr baseColWidth="10" defaultRowHeight="14.4" x14ac:dyDescent="0.3"/>
  <cols>
    <col min="1" max="1" width="8" customWidth="1"/>
  </cols>
  <sheetData>
    <row r="1" spans="2:2" ht="28.2" x14ac:dyDescent="0.3">
      <c r="B1" s="281" t="s">
        <v>235</v>
      </c>
    </row>
    <row r="44" spans="1:1" x14ac:dyDescent="0.3">
      <c r="A44" s="1"/>
    </row>
    <row r="107" spans="1:2" x14ac:dyDescent="0.3">
      <c r="A107" s="307"/>
      <c r="B107" s="1"/>
    </row>
    <row r="111" spans="1:2" x14ac:dyDescent="0.3">
      <c r="A111" s="307"/>
      <c r="B111" s="1"/>
    </row>
  </sheetData>
  <pageMargins left="0.70866141732283472" right="0.70866141732283472" top="0.74803149606299213" bottom="0.74803149606299213" header="0.31496062992125984" footer="0.31496062992125984"/>
  <pageSetup paperSize="9" scale="83" orientation="portrait" r:id="rId1"/>
  <rowBreaks count="2" manualBreakCount="2">
    <brk id="91" max="16383" man="1"/>
    <brk id="125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70BE3-AA12-4720-B384-2234AB9F3ADB}">
  <sheetPr codeName="Feuil8"/>
  <dimension ref="A1:O1039"/>
  <sheetViews>
    <sheetView showGridLines="0" zoomScale="80" zoomScaleNormal="80" workbookViewId="0">
      <selection activeCell="Q13" sqref="Q13"/>
    </sheetView>
  </sheetViews>
  <sheetFormatPr baseColWidth="10" defaultColWidth="11.44140625" defaultRowHeight="16.2" x14ac:dyDescent="0.4"/>
  <cols>
    <col min="1" max="1" width="10.44140625" style="165" bestFit="1" customWidth="1"/>
    <col min="2" max="2" width="12" style="166" bestFit="1" customWidth="1"/>
    <col min="3" max="3" width="14" style="165" bestFit="1" customWidth="1"/>
    <col min="4" max="4" width="11" style="166" bestFit="1" customWidth="1"/>
    <col min="5" max="5" width="13" style="166" bestFit="1" customWidth="1"/>
    <col min="6" max="6" width="3.88671875" style="166" customWidth="1"/>
    <col min="7" max="7" width="10.5546875" style="165" bestFit="1" customWidth="1"/>
    <col min="8" max="8" width="10.6640625" style="166" bestFit="1" customWidth="1"/>
    <col min="9" max="9" width="12.44140625" style="167" customWidth="1"/>
    <col min="10" max="10" width="11.33203125" style="166" bestFit="1" customWidth="1"/>
    <col min="11" max="11" width="10.5546875" style="165" customWidth="1"/>
    <col min="12" max="12" width="3.88671875" style="166" customWidth="1"/>
    <col min="13" max="13" width="0" style="175" hidden="1" customWidth="1"/>
    <col min="14" max="14" width="8.6640625" style="170" bestFit="1" customWidth="1"/>
    <col min="15" max="15" width="8.6640625" style="170" customWidth="1"/>
    <col min="16" max="256" width="11.44140625" style="170"/>
    <col min="257" max="257" width="10.44140625" style="170" bestFit="1" customWidth="1"/>
    <col min="258" max="258" width="12" style="170" bestFit="1" customWidth="1"/>
    <col min="259" max="259" width="14" style="170" bestFit="1" customWidth="1"/>
    <col min="260" max="260" width="11" style="170" bestFit="1" customWidth="1"/>
    <col min="261" max="261" width="13" style="170" bestFit="1" customWidth="1"/>
    <col min="262" max="262" width="3.88671875" style="170" customWidth="1"/>
    <col min="263" max="263" width="10.5546875" style="170" bestFit="1" customWidth="1"/>
    <col min="264" max="264" width="10.6640625" style="170" bestFit="1" customWidth="1"/>
    <col min="265" max="265" width="12.44140625" style="170" customWidth="1"/>
    <col min="266" max="266" width="11.33203125" style="170" bestFit="1" customWidth="1"/>
    <col min="267" max="267" width="10.5546875" style="170" customWidth="1"/>
    <col min="268" max="268" width="3.88671875" style="170" customWidth="1"/>
    <col min="269" max="269" width="0" style="170" hidden="1" customWidth="1"/>
    <col min="270" max="270" width="8.6640625" style="170" bestFit="1" customWidth="1"/>
    <col min="271" max="271" width="8.6640625" style="170" customWidth="1"/>
    <col min="272" max="512" width="11.44140625" style="170"/>
    <col min="513" max="513" width="10.44140625" style="170" bestFit="1" customWidth="1"/>
    <col min="514" max="514" width="12" style="170" bestFit="1" customWidth="1"/>
    <col min="515" max="515" width="14" style="170" bestFit="1" customWidth="1"/>
    <col min="516" max="516" width="11" style="170" bestFit="1" customWidth="1"/>
    <col min="517" max="517" width="13" style="170" bestFit="1" customWidth="1"/>
    <col min="518" max="518" width="3.88671875" style="170" customWidth="1"/>
    <col min="519" max="519" width="10.5546875" style="170" bestFit="1" customWidth="1"/>
    <col min="520" max="520" width="10.6640625" style="170" bestFit="1" customWidth="1"/>
    <col min="521" max="521" width="12.44140625" style="170" customWidth="1"/>
    <col min="522" max="522" width="11.33203125" style="170" bestFit="1" customWidth="1"/>
    <col min="523" max="523" width="10.5546875" style="170" customWidth="1"/>
    <col min="524" max="524" width="3.88671875" style="170" customWidth="1"/>
    <col min="525" max="525" width="0" style="170" hidden="1" customWidth="1"/>
    <col min="526" max="526" width="8.6640625" style="170" bestFit="1" customWidth="1"/>
    <col min="527" max="527" width="8.6640625" style="170" customWidth="1"/>
    <col min="528" max="768" width="11.44140625" style="170"/>
    <col min="769" max="769" width="10.44140625" style="170" bestFit="1" customWidth="1"/>
    <col min="770" max="770" width="12" style="170" bestFit="1" customWidth="1"/>
    <col min="771" max="771" width="14" style="170" bestFit="1" customWidth="1"/>
    <col min="772" max="772" width="11" style="170" bestFit="1" customWidth="1"/>
    <col min="773" max="773" width="13" style="170" bestFit="1" customWidth="1"/>
    <col min="774" max="774" width="3.88671875" style="170" customWidth="1"/>
    <col min="775" max="775" width="10.5546875" style="170" bestFit="1" customWidth="1"/>
    <col min="776" max="776" width="10.6640625" style="170" bestFit="1" customWidth="1"/>
    <col min="777" max="777" width="12.44140625" style="170" customWidth="1"/>
    <col min="778" max="778" width="11.33203125" style="170" bestFit="1" customWidth="1"/>
    <col min="779" max="779" width="10.5546875" style="170" customWidth="1"/>
    <col min="780" max="780" width="3.88671875" style="170" customWidth="1"/>
    <col min="781" max="781" width="0" style="170" hidden="1" customWidth="1"/>
    <col min="782" max="782" width="8.6640625" style="170" bestFit="1" customWidth="1"/>
    <col min="783" max="783" width="8.6640625" style="170" customWidth="1"/>
    <col min="784" max="1024" width="11.44140625" style="170"/>
    <col min="1025" max="1025" width="10.44140625" style="170" bestFit="1" customWidth="1"/>
    <col min="1026" max="1026" width="12" style="170" bestFit="1" customWidth="1"/>
    <col min="1027" max="1027" width="14" style="170" bestFit="1" customWidth="1"/>
    <col min="1028" max="1028" width="11" style="170" bestFit="1" customWidth="1"/>
    <col min="1029" max="1029" width="13" style="170" bestFit="1" customWidth="1"/>
    <col min="1030" max="1030" width="3.88671875" style="170" customWidth="1"/>
    <col min="1031" max="1031" width="10.5546875" style="170" bestFit="1" customWidth="1"/>
    <col min="1032" max="1032" width="10.6640625" style="170" bestFit="1" customWidth="1"/>
    <col min="1033" max="1033" width="12.44140625" style="170" customWidth="1"/>
    <col min="1034" max="1034" width="11.33203125" style="170" bestFit="1" customWidth="1"/>
    <col min="1035" max="1035" width="10.5546875" style="170" customWidth="1"/>
    <col min="1036" max="1036" width="3.88671875" style="170" customWidth="1"/>
    <col min="1037" max="1037" width="0" style="170" hidden="1" customWidth="1"/>
    <col min="1038" max="1038" width="8.6640625" style="170" bestFit="1" customWidth="1"/>
    <col min="1039" max="1039" width="8.6640625" style="170" customWidth="1"/>
    <col min="1040" max="1280" width="11.44140625" style="170"/>
    <col min="1281" max="1281" width="10.44140625" style="170" bestFit="1" customWidth="1"/>
    <col min="1282" max="1282" width="12" style="170" bestFit="1" customWidth="1"/>
    <col min="1283" max="1283" width="14" style="170" bestFit="1" customWidth="1"/>
    <col min="1284" max="1284" width="11" style="170" bestFit="1" customWidth="1"/>
    <col min="1285" max="1285" width="13" style="170" bestFit="1" customWidth="1"/>
    <col min="1286" max="1286" width="3.88671875" style="170" customWidth="1"/>
    <col min="1287" max="1287" width="10.5546875" style="170" bestFit="1" customWidth="1"/>
    <col min="1288" max="1288" width="10.6640625" style="170" bestFit="1" customWidth="1"/>
    <col min="1289" max="1289" width="12.44140625" style="170" customWidth="1"/>
    <col min="1290" max="1290" width="11.33203125" style="170" bestFit="1" customWidth="1"/>
    <col min="1291" max="1291" width="10.5546875" style="170" customWidth="1"/>
    <col min="1292" max="1292" width="3.88671875" style="170" customWidth="1"/>
    <col min="1293" max="1293" width="0" style="170" hidden="1" customWidth="1"/>
    <col min="1294" max="1294" width="8.6640625" style="170" bestFit="1" customWidth="1"/>
    <col min="1295" max="1295" width="8.6640625" style="170" customWidth="1"/>
    <col min="1296" max="1536" width="11.44140625" style="170"/>
    <col min="1537" max="1537" width="10.44140625" style="170" bestFit="1" customWidth="1"/>
    <col min="1538" max="1538" width="12" style="170" bestFit="1" customWidth="1"/>
    <col min="1539" max="1539" width="14" style="170" bestFit="1" customWidth="1"/>
    <col min="1540" max="1540" width="11" style="170" bestFit="1" customWidth="1"/>
    <col min="1541" max="1541" width="13" style="170" bestFit="1" customWidth="1"/>
    <col min="1542" max="1542" width="3.88671875" style="170" customWidth="1"/>
    <col min="1543" max="1543" width="10.5546875" style="170" bestFit="1" customWidth="1"/>
    <col min="1544" max="1544" width="10.6640625" style="170" bestFit="1" customWidth="1"/>
    <col min="1545" max="1545" width="12.44140625" style="170" customWidth="1"/>
    <col min="1546" max="1546" width="11.33203125" style="170" bestFit="1" customWidth="1"/>
    <col min="1547" max="1547" width="10.5546875" style="170" customWidth="1"/>
    <col min="1548" max="1548" width="3.88671875" style="170" customWidth="1"/>
    <col min="1549" max="1549" width="0" style="170" hidden="1" customWidth="1"/>
    <col min="1550" max="1550" width="8.6640625" style="170" bestFit="1" customWidth="1"/>
    <col min="1551" max="1551" width="8.6640625" style="170" customWidth="1"/>
    <col min="1552" max="1792" width="11.44140625" style="170"/>
    <col min="1793" max="1793" width="10.44140625" style="170" bestFit="1" customWidth="1"/>
    <col min="1794" max="1794" width="12" style="170" bestFit="1" customWidth="1"/>
    <col min="1795" max="1795" width="14" style="170" bestFit="1" customWidth="1"/>
    <col min="1796" max="1796" width="11" style="170" bestFit="1" customWidth="1"/>
    <col min="1797" max="1797" width="13" style="170" bestFit="1" customWidth="1"/>
    <col min="1798" max="1798" width="3.88671875" style="170" customWidth="1"/>
    <col min="1799" max="1799" width="10.5546875" style="170" bestFit="1" customWidth="1"/>
    <col min="1800" max="1800" width="10.6640625" style="170" bestFit="1" customWidth="1"/>
    <col min="1801" max="1801" width="12.44140625" style="170" customWidth="1"/>
    <col min="1802" max="1802" width="11.33203125" style="170" bestFit="1" customWidth="1"/>
    <col min="1803" max="1803" width="10.5546875" style="170" customWidth="1"/>
    <col min="1804" max="1804" width="3.88671875" style="170" customWidth="1"/>
    <col min="1805" max="1805" width="0" style="170" hidden="1" customWidth="1"/>
    <col min="1806" max="1806" width="8.6640625" style="170" bestFit="1" customWidth="1"/>
    <col min="1807" max="1807" width="8.6640625" style="170" customWidth="1"/>
    <col min="1808" max="2048" width="11.44140625" style="170"/>
    <col min="2049" max="2049" width="10.44140625" style="170" bestFit="1" customWidth="1"/>
    <col min="2050" max="2050" width="12" style="170" bestFit="1" customWidth="1"/>
    <col min="2051" max="2051" width="14" style="170" bestFit="1" customWidth="1"/>
    <col min="2052" max="2052" width="11" style="170" bestFit="1" customWidth="1"/>
    <col min="2053" max="2053" width="13" style="170" bestFit="1" customWidth="1"/>
    <col min="2054" max="2054" width="3.88671875" style="170" customWidth="1"/>
    <col min="2055" max="2055" width="10.5546875" style="170" bestFit="1" customWidth="1"/>
    <col min="2056" max="2056" width="10.6640625" style="170" bestFit="1" customWidth="1"/>
    <col min="2057" max="2057" width="12.44140625" style="170" customWidth="1"/>
    <col min="2058" max="2058" width="11.33203125" style="170" bestFit="1" customWidth="1"/>
    <col min="2059" max="2059" width="10.5546875" style="170" customWidth="1"/>
    <col min="2060" max="2060" width="3.88671875" style="170" customWidth="1"/>
    <col min="2061" max="2061" width="0" style="170" hidden="1" customWidth="1"/>
    <col min="2062" max="2062" width="8.6640625" style="170" bestFit="1" customWidth="1"/>
    <col min="2063" max="2063" width="8.6640625" style="170" customWidth="1"/>
    <col min="2064" max="2304" width="11.44140625" style="170"/>
    <col min="2305" max="2305" width="10.44140625" style="170" bestFit="1" customWidth="1"/>
    <col min="2306" max="2306" width="12" style="170" bestFit="1" customWidth="1"/>
    <col min="2307" max="2307" width="14" style="170" bestFit="1" customWidth="1"/>
    <col min="2308" max="2308" width="11" style="170" bestFit="1" customWidth="1"/>
    <col min="2309" max="2309" width="13" style="170" bestFit="1" customWidth="1"/>
    <col min="2310" max="2310" width="3.88671875" style="170" customWidth="1"/>
    <col min="2311" max="2311" width="10.5546875" style="170" bestFit="1" customWidth="1"/>
    <col min="2312" max="2312" width="10.6640625" style="170" bestFit="1" customWidth="1"/>
    <col min="2313" max="2313" width="12.44140625" style="170" customWidth="1"/>
    <col min="2314" max="2314" width="11.33203125" style="170" bestFit="1" customWidth="1"/>
    <col min="2315" max="2315" width="10.5546875" style="170" customWidth="1"/>
    <col min="2316" max="2316" width="3.88671875" style="170" customWidth="1"/>
    <col min="2317" max="2317" width="0" style="170" hidden="1" customWidth="1"/>
    <col min="2318" max="2318" width="8.6640625" style="170" bestFit="1" customWidth="1"/>
    <col min="2319" max="2319" width="8.6640625" style="170" customWidth="1"/>
    <col min="2320" max="2560" width="11.44140625" style="170"/>
    <col min="2561" max="2561" width="10.44140625" style="170" bestFit="1" customWidth="1"/>
    <col min="2562" max="2562" width="12" style="170" bestFit="1" customWidth="1"/>
    <col min="2563" max="2563" width="14" style="170" bestFit="1" customWidth="1"/>
    <col min="2564" max="2564" width="11" style="170" bestFit="1" customWidth="1"/>
    <col min="2565" max="2565" width="13" style="170" bestFit="1" customWidth="1"/>
    <col min="2566" max="2566" width="3.88671875" style="170" customWidth="1"/>
    <col min="2567" max="2567" width="10.5546875" style="170" bestFit="1" customWidth="1"/>
    <col min="2568" max="2568" width="10.6640625" style="170" bestFit="1" customWidth="1"/>
    <col min="2569" max="2569" width="12.44140625" style="170" customWidth="1"/>
    <col min="2570" max="2570" width="11.33203125" style="170" bestFit="1" customWidth="1"/>
    <col min="2571" max="2571" width="10.5546875" style="170" customWidth="1"/>
    <col min="2572" max="2572" width="3.88671875" style="170" customWidth="1"/>
    <col min="2573" max="2573" width="0" style="170" hidden="1" customWidth="1"/>
    <col min="2574" max="2574" width="8.6640625" style="170" bestFit="1" customWidth="1"/>
    <col min="2575" max="2575" width="8.6640625" style="170" customWidth="1"/>
    <col min="2576" max="2816" width="11.44140625" style="170"/>
    <col min="2817" max="2817" width="10.44140625" style="170" bestFit="1" customWidth="1"/>
    <col min="2818" max="2818" width="12" style="170" bestFit="1" customWidth="1"/>
    <col min="2819" max="2819" width="14" style="170" bestFit="1" customWidth="1"/>
    <col min="2820" max="2820" width="11" style="170" bestFit="1" customWidth="1"/>
    <col min="2821" max="2821" width="13" style="170" bestFit="1" customWidth="1"/>
    <col min="2822" max="2822" width="3.88671875" style="170" customWidth="1"/>
    <col min="2823" max="2823" width="10.5546875" style="170" bestFit="1" customWidth="1"/>
    <col min="2824" max="2824" width="10.6640625" style="170" bestFit="1" customWidth="1"/>
    <col min="2825" max="2825" width="12.44140625" style="170" customWidth="1"/>
    <col min="2826" max="2826" width="11.33203125" style="170" bestFit="1" customWidth="1"/>
    <col min="2827" max="2827" width="10.5546875" style="170" customWidth="1"/>
    <col min="2828" max="2828" width="3.88671875" style="170" customWidth="1"/>
    <col min="2829" max="2829" width="0" style="170" hidden="1" customWidth="1"/>
    <col min="2830" max="2830" width="8.6640625" style="170" bestFit="1" customWidth="1"/>
    <col min="2831" max="2831" width="8.6640625" style="170" customWidth="1"/>
    <col min="2832" max="3072" width="11.44140625" style="170"/>
    <col min="3073" max="3073" width="10.44140625" style="170" bestFit="1" customWidth="1"/>
    <col min="3074" max="3074" width="12" style="170" bestFit="1" customWidth="1"/>
    <col min="3075" max="3075" width="14" style="170" bestFit="1" customWidth="1"/>
    <col min="3076" max="3076" width="11" style="170" bestFit="1" customWidth="1"/>
    <col min="3077" max="3077" width="13" style="170" bestFit="1" customWidth="1"/>
    <col min="3078" max="3078" width="3.88671875" style="170" customWidth="1"/>
    <col min="3079" max="3079" width="10.5546875" style="170" bestFit="1" customWidth="1"/>
    <col min="3080" max="3080" width="10.6640625" style="170" bestFit="1" customWidth="1"/>
    <col min="3081" max="3081" width="12.44140625" style="170" customWidth="1"/>
    <col min="3082" max="3082" width="11.33203125" style="170" bestFit="1" customWidth="1"/>
    <col min="3083" max="3083" width="10.5546875" style="170" customWidth="1"/>
    <col min="3084" max="3084" width="3.88671875" style="170" customWidth="1"/>
    <col min="3085" max="3085" width="0" style="170" hidden="1" customWidth="1"/>
    <col min="3086" max="3086" width="8.6640625" style="170" bestFit="1" customWidth="1"/>
    <col min="3087" max="3087" width="8.6640625" style="170" customWidth="1"/>
    <col min="3088" max="3328" width="11.44140625" style="170"/>
    <col min="3329" max="3329" width="10.44140625" style="170" bestFit="1" customWidth="1"/>
    <col min="3330" max="3330" width="12" style="170" bestFit="1" customWidth="1"/>
    <col min="3331" max="3331" width="14" style="170" bestFit="1" customWidth="1"/>
    <col min="3332" max="3332" width="11" style="170" bestFit="1" customWidth="1"/>
    <col min="3333" max="3333" width="13" style="170" bestFit="1" customWidth="1"/>
    <col min="3334" max="3334" width="3.88671875" style="170" customWidth="1"/>
    <col min="3335" max="3335" width="10.5546875" style="170" bestFit="1" customWidth="1"/>
    <col min="3336" max="3336" width="10.6640625" style="170" bestFit="1" customWidth="1"/>
    <col min="3337" max="3337" width="12.44140625" style="170" customWidth="1"/>
    <col min="3338" max="3338" width="11.33203125" style="170" bestFit="1" customWidth="1"/>
    <col min="3339" max="3339" width="10.5546875" style="170" customWidth="1"/>
    <col min="3340" max="3340" width="3.88671875" style="170" customWidth="1"/>
    <col min="3341" max="3341" width="0" style="170" hidden="1" customWidth="1"/>
    <col min="3342" max="3342" width="8.6640625" style="170" bestFit="1" customWidth="1"/>
    <col min="3343" max="3343" width="8.6640625" style="170" customWidth="1"/>
    <col min="3344" max="3584" width="11.44140625" style="170"/>
    <col min="3585" max="3585" width="10.44140625" style="170" bestFit="1" customWidth="1"/>
    <col min="3586" max="3586" width="12" style="170" bestFit="1" customWidth="1"/>
    <col min="3587" max="3587" width="14" style="170" bestFit="1" customWidth="1"/>
    <col min="3588" max="3588" width="11" style="170" bestFit="1" customWidth="1"/>
    <col min="3589" max="3589" width="13" style="170" bestFit="1" customWidth="1"/>
    <col min="3590" max="3590" width="3.88671875" style="170" customWidth="1"/>
    <col min="3591" max="3591" width="10.5546875" style="170" bestFit="1" customWidth="1"/>
    <col min="3592" max="3592" width="10.6640625" style="170" bestFit="1" customWidth="1"/>
    <col min="3593" max="3593" width="12.44140625" style="170" customWidth="1"/>
    <col min="3594" max="3594" width="11.33203125" style="170" bestFit="1" customWidth="1"/>
    <col min="3595" max="3595" width="10.5546875" style="170" customWidth="1"/>
    <col min="3596" max="3596" width="3.88671875" style="170" customWidth="1"/>
    <col min="3597" max="3597" width="0" style="170" hidden="1" customWidth="1"/>
    <col min="3598" max="3598" width="8.6640625" style="170" bestFit="1" customWidth="1"/>
    <col min="3599" max="3599" width="8.6640625" style="170" customWidth="1"/>
    <col min="3600" max="3840" width="11.44140625" style="170"/>
    <col min="3841" max="3841" width="10.44140625" style="170" bestFit="1" customWidth="1"/>
    <col min="3842" max="3842" width="12" style="170" bestFit="1" customWidth="1"/>
    <col min="3843" max="3843" width="14" style="170" bestFit="1" customWidth="1"/>
    <col min="3844" max="3844" width="11" style="170" bestFit="1" customWidth="1"/>
    <col min="3845" max="3845" width="13" style="170" bestFit="1" customWidth="1"/>
    <col min="3846" max="3846" width="3.88671875" style="170" customWidth="1"/>
    <col min="3847" max="3847" width="10.5546875" style="170" bestFit="1" customWidth="1"/>
    <col min="3848" max="3848" width="10.6640625" style="170" bestFit="1" customWidth="1"/>
    <col min="3849" max="3849" width="12.44140625" style="170" customWidth="1"/>
    <col min="3850" max="3850" width="11.33203125" style="170" bestFit="1" customWidth="1"/>
    <col min="3851" max="3851" width="10.5546875" style="170" customWidth="1"/>
    <col min="3852" max="3852" width="3.88671875" style="170" customWidth="1"/>
    <col min="3853" max="3853" width="0" style="170" hidden="1" customWidth="1"/>
    <col min="3854" max="3854" width="8.6640625" style="170" bestFit="1" customWidth="1"/>
    <col min="3855" max="3855" width="8.6640625" style="170" customWidth="1"/>
    <col min="3856" max="4096" width="11.44140625" style="170"/>
    <col min="4097" max="4097" width="10.44140625" style="170" bestFit="1" customWidth="1"/>
    <col min="4098" max="4098" width="12" style="170" bestFit="1" customWidth="1"/>
    <col min="4099" max="4099" width="14" style="170" bestFit="1" customWidth="1"/>
    <col min="4100" max="4100" width="11" style="170" bestFit="1" customWidth="1"/>
    <col min="4101" max="4101" width="13" style="170" bestFit="1" customWidth="1"/>
    <col min="4102" max="4102" width="3.88671875" style="170" customWidth="1"/>
    <col min="4103" max="4103" width="10.5546875" style="170" bestFit="1" customWidth="1"/>
    <col min="4104" max="4104" width="10.6640625" style="170" bestFit="1" customWidth="1"/>
    <col min="4105" max="4105" width="12.44140625" style="170" customWidth="1"/>
    <col min="4106" max="4106" width="11.33203125" style="170" bestFit="1" customWidth="1"/>
    <col min="4107" max="4107" width="10.5546875" style="170" customWidth="1"/>
    <col min="4108" max="4108" width="3.88671875" style="170" customWidth="1"/>
    <col min="4109" max="4109" width="0" style="170" hidden="1" customWidth="1"/>
    <col min="4110" max="4110" width="8.6640625" style="170" bestFit="1" customWidth="1"/>
    <col min="4111" max="4111" width="8.6640625" style="170" customWidth="1"/>
    <col min="4112" max="4352" width="11.44140625" style="170"/>
    <col min="4353" max="4353" width="10.44140625" style="170" bestFit="1" customWidth="1"/>
    <col min="4354" max="4354" width="12" style="170" bestFit="1" customWidth="1"/>
    <col min="4355" max="4355" width="14" style="170" bestFit="1" customWidth="1"/>
    <col min="4356" max="4356" width="11" style="170" bestFit="1" customWidth="1"/>
    <col min="4357" max="4357" width="13" style="170" bestFit="1" customWidth="1"/>
    <col min="4358" max="4358" width="3.88671875" style="170" customWidth="1"/>
    <col min="4359" max="4359" width="10.5546875" style="170" bestFit="1" customWidth="1"/>
    <col min="4360" max="4360" width="10.6640625" style="170" bestFit="1" customWidth="1"/>
    <col min="4361" max="4361" width="12.44140625" style="170" customWidth="1"/>
    <col min="4362" max="4362" width="11.33203125" style="170" bestFit="1" customWidth="1"/>
    <col min="4363" max="4363" width="10.5546875" style="170" customWidth="1"/>
    <col min="4364" max="4364" width="3.88671875" style="170" customWidth="1"/>
    <col min="4365" max="4365" width="0" style="170" hidden="1" customWidth="1"/>
    <col min="4366" max="4366" width="8.6640625" style="170" bestFit="1" customWidth="1"/>
    <col min="4367" max="4367" width="8.6640625" style="170" customWidth="1"/>
    <col min="4368" max="4608" width="11.44140625" style="170"/>
    <col min="4609" max="4609" width="10.44140625" style="170" bestFit="1" customWidth="1"/>
    <col min="4610" max="4610" width="12" style="170" bestFit="1" customWidth="1"/>
    <col min="4611" max="4611" width="14" style="170" bestFit="1" customWidth="1"/>
    <col min="4612" max="4612" width="11" style="170" bestFit="1" customWidth="1"/>
    <col min="4613" max="4613" width="13" style="170" bestFit="1" customWidth="1"/>
    <col min="4614" max="4614" width="3.88671875" style="170" customWidth="1"/>
    <col min="4615" max="4615" width="10.5546875" style="170" bestFit="1" customWidth="1"/>
    <col min="4616" max="4616" width="10.6640625" style="170" bestFit="1" customWidth="1"/>
    <col min="4617" max="4617" width="12.44140625" style="170" customWidth="1"/>
    <col min="4618" max="4618" width="11.33203125" style="170" bestFit="1" customWidth="1"/>
    <col min="4619" max="4619" width="10.5546875" style="170" customWidth="1"/>
    <col min="4620" max="4620" width="3.88671875" style="170" customWidth="1"/>
    <col min="4621" max="4621" width="0" style="170" hidden="1" customWidth="1"/>
    <col min="4622" max="4622" width="8.6640625" style="170" bestFit="1" customWidth="1"/>
    <col min="4623" max="4623" width="8.6640625" style="170" customWidth="1"/>
    <col min="4624" max="4864" width="11.44140625" style="170"/>
    <col min="4865" max="4865" width="10.44140625" style="170" bestFit="1" customWidth="1"/>
    <col min="4866" max="4866" width="12" style="170" bestFit="1" customWidth="1"/>
    <col min="4867" max="4867" width="14" style="170" bestFit="1" customWidth="1"/>
    <col min="4868" max="4868" width="11" style="170" bestFit="1" customWidth="1"/>
    <col min="4869" max="4869" width="13" style="170" bestFit="1" customWidth="1"/>
    <col min="4870" max="4870" width="3.88671875" style="170" customWidth="1"/>
    <col min="4871" max="4871" width="10.5546875" style="170" bestFit="1" customWidth="1"/>
    <col min="4872" max="4872" width="10.6640625" style="170" bestFit="1" customWidth="1"/>
    <col min="4873" max="4873" width="12.44140625" style="170" customWidth="1"/>
    <col min="4874" max="4874" width="11.33203125" style="170" bestFit="1" customWidth="1"/>
    <col min="4875" max="4875" width="10.5546875" style="170" customWidth="1"/>
    <col min="4876" max="4876" width="3.88671875" style="170" customWidth="1"/>
    <col min="4877" max="4877" width="0" style="170" hidden="1" customWidth="1"/>
    <col min="4878" max="4878" width="8.6640625" style="170" bestFit="1" customWidth="1"/>
    <col min="4879" max="4879" width="8.6640625" style="170" customWidth="1"/>
    <col min="4880" max="5120" width="11.44140625" style="170"/>
    <col min="5121" max="5121" width="10.44140625" style="170" bestFit="1" customWidth="1"/>
    <col min="5122" max="5122" width="12" style="170" bestFit="1" customWidth="1"/>
    <col min="5123" max="5123" width="14" style="170" bestFit="1" customWidth="1"/>
    <col min="5124" max="5124" width="11" style="170" bestFit="1" customWidth="1"/>
    <col min="5125" max="5125" width="13" style="170" bestFit="1" customWidth="1"/>
    <col min="5126" max="5126" width="3.88671875" style="170" customWidth="1"/>
    <col min="5127" max="5127" width="10.5546875" style="170" bestFit="1" customWidth="1"/>
    <col min="5128" max="5128" width="10.6640625" style="170" bestFit="1" customWidth="1"/>
    <col min="5129" max="5129" width="12.44140625" style="170" customWidth="1"/>
    <col min="5130" max="5130" width="11.33203125" style="170" bestFit="1" customWidth="1"/>
    <col min="5131" max="5131" width="10.5546875" style="170" customWidth="1"/>
    <col min="5132" max="5132" width="3.88671875" style="170" customWidth="1"/>
    <col min="5133" max="5133" width="0" style="170" hidden="1" customWidth="1"/>
    <col min="5134" max="5134" width="8.6640625" style="170" bestFit="1" customWidth="1"/>
    <col min="5135" max="5135" width="8.6640625" style="170" customWidth="1"/>
    <col min="5136" max="5376" width="11.44140625" style="170"/>
    <col min="5377" max="5377" width="10.44140625" style="170" bestFit="1" customWidth="1"/>
    <col min="5378" max="5378" width="12" style="170" bestFit="1" customWidth="1"/>
    <col min="5379" max="5379" width="14" style="170" bestFit="1" customWidth="1"/>
    <col min="5380" max="5380" width="11" style="170" bestFit="1" customWidth="1"/>
    <col min="5381" max="5381" width="13" style="170" bestFit="1" customWidth="1"/>
    <col min="5382" max="5382" width="3.88671875" style="170" customWidth="1"/>
    <col min="5383" max="5383" width="10.5546875" style="170" bestFit="1" customWidth="1"/>
    <col min="5384" max="5384" width="10.6640625" style="170" bestFit="1" customWidth="1"/>
    <col min="5385" max="5385" width="12.44140625" style="170" customWidth="1"/>
    <col min="5386" max="5386" width="11.33203125" style="170" bestFit="1" customWidth="1"/>
    <col min="5387" max="5387" width="10.5546875" style="170" customWidth="1"/>
    <col min="5388" max="5388" width="3.88671875" style="170" customWidth="1"/>
    <col min="5389" max="5389" width="0" style="170" hidden="1" customWidth="1"/>
    <col min="5390" max="5390" width="8.6640625" style="170" bestFit="1" customWidth="1"/>
    <col min="5391" max="5391" width="8.6640625" style="170" customWidth="1"/>
    <col min="5392" max="5632" width="11.44140625" style="170"/>
    <col min="5633" max="5633" width="10.44140625" style="170" bestFit="1" customWidth="1"/>
    <col min="5634" max="5634" width="12" style="170" bestFit="1" customWidth="1"/>
    <col min="5635" max="5635" width="14" style="170" bestFit="1" customWidth="1"/>
    <col min="5636" max="5636" width="11" style="170" bestFit="1" customWidth="1"/>
    <col min="5637" max="5637" width="13" style="170" bestFit="1" customWidth="1"/>
    <col min="5638" max="5638" width="3.88671875" style="170" customWidth="1"/>
    <col min="5639" max="5639" width="10.5546875" style="170" bestFit="1" customWidth="1"/>
    <col min="5640" max="5640" width="10.6640625" style="170" bestFit="1" customWidth="1"/>
    <col min="5641" max="5641" width="12.44140625" style="170" customWidth="1"/>
    <col min="5642" max="5642" width="11.33203125" style="170" bestFit="1" customWidth="1"/>
    <col min="5643" max="5643" width="10.5546875" style="170" customWidth="1"/>
    <col min="5644" max="5644" width="3.88671875" style="170" customWidth="1"/>
    <col min="5645" max="5645" width="0" style="170" hidden="1" customWidth="1"/>
    <col min="5646" max="5646" width="8.6640625" style="170" bestFit="1" customWidth="1"/>
    <col min="5647" max="5647" width="8.6640625" style="170" customWidth="1"/>
    <col min="5648" max="5888" width="11.44140625" style="170"/>
    <col min="5889" max="5889" width="10.44140625" style="170" bestFit="1" customWidth="1"/>
    <col min="5890" max="5890" width="12" style="170" bestFit="1" customWidth="1"/>
    <col min="5891" max="5891" width="14" style="170" bestFit="1" customWidth="1"/>
    <col min="5892" max="5892" width="11" style="170" bestFit="1" customWidth="1"/>
    <col min="5893" max="5893" width="13" style="170" bestFit="1" customWidth="1"/>
    <col min="5894" max="5894" width="3.88671875" style="170" customWidth="1"/>
    <col min="5895" max="5895" width="10.5546875" style="170" bestFit="1" customWidth="1"/>
    <col min="5896" max="5896" width="10.6640625" style="170" bestFit="1" customWidth="1"/>
    <col min="5897" max="5897" width="12.44140625" style="170" customWidth="1"/>
    <col min="5898" max="5898" width="11.33203125" style="170" bestFit="1" customWidth="1"/>
    <col min="5899" max="5899" width="10.5546875" style="170" customWidth="1"/>
    <col min="5900" max="5900" width="3.88671875" style="170" customWidth="1"/>
    <col min="5901" max="5901" width="0" style="170" hidden="1" customWidth="1"/>
    <col min="5902" max="5902" width="8.6640625" style="170" bestFit="1" customWidth="1"/>
    <col min="5903" max="5903" width="8.6640625" style="170" customWidth="1"/>
    <col min="5904" max="6144" width="11.44140625" style="170"/>
    <col min="6145" max="6145" width="10.44140625" style="170" bestFit="1" customWidth="1"/>
    <col min="6146" max="6146" width="12" style="170" bestFit="1" customWidth="1"/>
    <col min="6147" max="6147" width="14" style="170" bestFit="1" customWidth="1"/>
    <col min="6148" max="6148" width="11" style="170" bestFit="1" customWidth="1"/>
    <col min="6149" max="6149" width="13" style="170" bestFit="1" customWidth="1"/>
    <col min="6150" max="6150" width="3.88671875" style="170" customWidth="1"/>
    <col min="6151" max="6151" width="10.5546875" style="170" bestFit="1" customWidth="1"/>
    <col min="6152" max="6152" width="10.6640625" style="170" bestFit="1" customWidth="1"/>
    <col min="6153" max="6153" width="12.44140625" style="170" customWidth="1"/>
    <col min="6154" max="6154" width="11.33203125" style="170" bestFit="1" customWidth="1"/>
    <col min="6155" max="6155" width="10.5546875" style="170" customWidth="1"/>
    <col min="6156" max="6156" width="3.88671875" style="170" customWidth="1"/>
    <col min="6157" max="6157" width="0" style="170" hidden="1" customWidth="1"/>
    <col min="6158" max="6158" width="8.6640625" style="170" bestFit="1" customWidth="1"/>
    <col min="6159" max="6159" width="8.6640625" style="170" customWidth="1"/>
    <col min="6160" max="6400" width="11.44140625" style="170"/>
    <col min="6401" max="6401" width="10.44140625" style="170" bestFit="1" customWidth="1"/>
    <col min="6402" max="6402" width="12" style="170" bestFit="1" customWidth="1"/>
    <col min="6403" max="6403" width="14" style="170" bestFit="1" customWidth="1"/>
    <col min="6404" max="6404" width="11" style="170" bestFit="1" customWidth="1"/>
    <col min="6405" max="6405" width="13" style="170" bestFit="1" customWidth="1"/>
    <col min="6406" max="6406" width="3.88671875" style="170" customWidth="1"/>
    <col min="6407" max="6407" width="10.5546875" style="170" bestFit="1" customWidth="1"/>
    <col min="6408" max="6408" width="10.6640625" style="170" bestFit="1" customWidth="1"/>
    <col min="6409" max="6409" width="12.44140625" style="170" customWidth="1"/>
    <col min="6410" max="6410" width="11.33203125" style="170" bestFit="1" customWidth="1"/>
    <col min="6411" max="6411" width="10.5546875" style="170" customWidth="1"/>
    <col min="6412" max="6412" width="3.88671875" style="170" customWidth="1"/>
    <col min="6413" max="6413" width="0" style="170" hidden="1" customWidth="1"/>
    <col min="6414" max="6414" width="8.6640625" style="170" bestFit="1" customWidth="1"/>
    <col min="6415" max="6415" width="8.6640625" style="170" customWidth="1"/>
    <col min="6416" max="6656" width="11.44140625" style="170"/>
    <col min="6657" max="6657" width="10.44140625" style="170" bestFit="1" customWidth="1"/>
    <col min="6658" max="6658" width="12" style="170" bestFit="1" customWidth="1"/>
    <col min="6659" max="6659" width="14" style="170" bestFit="1" customWidth="1"/>
    <col min="6660" max="6660" width="11" style="170" bestFit="1" customWidth="1"/>
    <col min="6661" max="6661" width="13" style="170" bestFit="1" customWidth="1"/>
    <col min="6662" max="6662" width="3.88671875" style="170" customWidth="1"/>
    <col min="6663" max="6663" width="10.5546875" style="170" bestFit="1" customWidth="1"/>
    <col min="6664" max="6664" width="10.6640625" style="170" bestFit="1" customWidth="1"/>
    <col min="6665" max="6665" width="12.44140625" style="170" customWidth="1"/>
    <col min="6666" max="6666" width="11.33203125" style="170" bestFit="1" customWidth="1"/>
    <col min="6667" max="6667" width="10.5546875" style="170" customWidth="1"/>
    <col min="6668" max="6668" width="3.88671875" style="170" customWidth="1"/>
    <col min="6669" max="6669" width="0" style="170" hidden="1" customWidth="1"/>
    <col min="6670" max="6670" width="8.6640625" style="170" bestFit="1" customWidth="1"/>
    <col min="6671" max="6671" width="8.6640625" style="170" customWidth="1"/>
    <col min="6672" max="6912" width="11.44140625" style="170"/>
    <col min="6913" max="6913" width="10.44140625" style="170" bestFit="1" customWidth="1"/>
    <col min="6914" max="6914" width="12" style="170" bestFit="1" customWidth="1"/>
    <col min="6915" max="6915" width="14" style="170" bestFit="1" customWidth="1"/>
    <col min="6916" max="6916" width="11" style="170" bestFit="1" customWidth="1"/>
    <col min="6917" max="6917" width="13" style="170" bestFit="1" customWidth="1"/>
    <col min="6918" max="6918" width="3.88671875" style="170" customWidth="1"/>
    <col min="6919" max="6919" width="10.5546875" style="170" bestFit="1" customWidth="1"/>
    <col min="6920" max="6920" width="10.6640625" style="170" bestFit="1" customWidth="1"/>
    <col min="6921" max="6921" width="12.44140625" style="170" customWidth="1"/>
    <col min="6922" max="6922" width="11.33203125" style="170" bestFit="1" customWidth="1"/>
    <col min="6923" max="6923" width="10.5546875" style="170" customWidth="1"/>
    <col min="6924" max="6924" width="3.88671875" style="170" customWidth="1"/>
    <col min="6925" max="6925" width="0" style="170" hidden="1" customWidth="1"/>
    <col min="6926" max="6926" width="8.6640625" style="170" bestFit="1" customWidth="1"/>
    <col min="6927" max="6927" width="8.6640625" style="170" customWidth="1"/>
    <col min="6928" max="7168" width="11.44140625" style="170"/>
    <col min="7169" max="7169" width="10.44140625" style="170" bestFit="1" customWidth="1"/>
    <col min="7170" max="7170" width="12" style="170" bestFit="1" customWidth="1"/>
    <col min="7171" max="7171" width="14" style="170" bestFit="1" customWidth="1"/>
    <col min="7172" max="7172" width="11" style="170" bestFit="1" customWidth="1"/>
    <col min="7173" max="7173" width="13" style="170" bestFit="1" customWidth="1"/>
    <col min="7174" max="7174" width="3.88671875" style="170" customWidth="1"/>
    <col min="7175" max="7175" width="10.5546875" style="170" bestFit="1" customWidth="1"/>
    <col min="7176" max="7176" width="10.6640625" style="170" bestFit="1" customWidth="1"/>
    <col min="7177" max="7177" width="12.44140625" style="170" customWidth="1"/>
    <col min="7178" max="7178" width="11.33203125" style="170" bestFit="1" customWidth="1"/>
    <col min="7179" max="7179" width="10.5546875" style="170" customWidth="1"/>
    <col min="7180" max="7180" width="3.88671875" style="170" customWidth="1"/>
    <col min="7181" max="7181" width="0" style="170" hidden="1" customWidth="1"/>
    <col min="7182" max="7182" width="8.6640625" style="170" bestFit="1" customWidth="1"/>
    <col min="7183" max="7183" width="8.6640625" style="170" customWidth="1"/>
    <col min="7184" max="7424" width="11.44140625" style="170"/>
    <col min="7425" max="7425" width="10.44140625" style="170" bestFit="1" customWidth="1"/>
    <col min="7426" max="7426" width="12" style="170" bestFit="1" customWidth="1"/>
    <col min="7427" max="7427" width="14" style="170" bestFit="1" customWidth="1"/>
    <col min="7428" max="7428" width="11" style="170" bestFit="1" customWidth="1"/>
    <col min="7429" max="7429" width="13" style="170" bestFit="1" customWidth="1"/>
    <col min="7430" max="7430" width="3.88671875" style="170" customWidth="1"/>
    <col min="7431" max="7431" width="10.5546875" style="170" bestFit="1" customWidth="1"/>
    <col min="7432" max="7432" width="10.6640625" style="170" bestFit="1" customWidth="1"/>
    <col min="7433" max="7433" width="12.44140625" style="170" customWidth="1"/>
    <col min="7434" max="7434" width="11.33203125" style="170" bestFit="1" customWidth="1"/>
    <col min="7435" max="7435" width="10.5546875" style="170" customWidth="1"/>
    <col min="7436" max="7436" width="3.88671875" style="170" customWidth="1"/>
    <col min="7437" max="7437" width="0" style="170" hidden="1" customWidth="1"/>
    <col min="7438" max="7438" width="8.6640625" style="170" bestFit="1" customWidth="1"/>
    <col min="7439" max="7439" width="8.6640625" style="170" customWidth="1"/>
    <col min="7440" max="7680" width="11.44140625" style="170"/>
    <col min="7681" max="7681" width="10.44140625" style="170" bestFit="1" customWidth="1"/>
    <col min="7682" max="7682" width="12" style="170" bestFit="1" customWidth="1"/>
    <col min="7683" max="7683" width="14" style="170" bestFit="1" customWidth="1"/>
    <col min="7684" max="7684" width="11" style="170" bestFit="1" customWidth="1"/>
    <col min="7685" max="7685" width="13" style="170" bestFit="1" customWidth="1"/>
    <col min="7686" max="7686" width="3.88671875" style="170" customWidth="1"/>
    <col min="7687" max="7687" width="10.5546875" style="170" bestFit="1" customWidth="1"/>
    <col min="7688" max="7688" width="10.6640625" style="170" bestFit="1" customWidth="1"/>
    <col min="7689" max="7689" width="12.44140625" style="170" customWidth="1"/>
    <col min="7690" max="7690" width="11.33203125" style="170" bestFit="1" customWidth="1"/>
    <col min="7691" max="7691" width="10.5546875" style="170" customWidth="1"/>
    <col min="7692" max="7692" width="3.88671875" style="170" customWidth="1"/>
    <col min="7693" max="7693" width="0" style="170" hidden="1" customWidth="1"/>
    <col min="7694" max="7694" width="8.6640625" style="170" bestFit="1" customWidth="1"/>
    <col min="7695" max="7695" width="8.6640625" style="170" customWidth="1"/>
    <col min="7696" max="7936" width="11.44140625" style="170"/>
    <col min="7937" max="7937" width="10.44140625" style="170" bestFit="1" customWidth="1"/>
    <col min="7938" max="7938" width="12" style="170" bestFit="1" customWidth="1"/>
    <col min="7939" max="7939" width="14" style="170" bestFit="1" customWidth="1"/>
    <col min="7940" max="7940" width="11" style="170" bestFit="1" customWidth="1"/>
    <col min="7941" max="7941" width="13" style="170" bestFit="1" customWidth="1"/>
    <col min="7942" max="7942" width="3.88671875" style="170" customWidth="1"/>
    <col min="7943" max="7943" width="10.5546875" style="170" bestFit="1" customWidth="1"/>
    <col min="7944" max="7944" width="10.6640625" style="170" bestFit="1" customWidth="1"/>
    <col min="7945" max="7945" width="12.44140625" style="170" customWidth="1"/>
    <col min="7946" max="7946" width="11.33203125" style="170" bestFit="1" customWidth="1"/>
    <col min="7947" max="7947" width="10.5546875" style="170" customWidth="1"/>
    <col min="7948" max="7948" width="3.88671875" style="170" customWidth="1"/>
    <col min="7949" max="7949" width="0" style="170" hidden="1" customWidth="1"/>
    <col min="7950" max="7950" width="8.6640625" style="170" bestFit="1" customWidth="1"/>
    <col min="7951" max="7951" width="8.6640625" style="170" customWidth="1"/>
    <col min="7952" max="8192" width="11.44140625" style="170"/>
    <col min="8193" max="8193" width="10.44140625" style="170" bestFit="1" customWidth="1"/>
    <col min="8194" max="8194" width="12" style="170" bestFit="1" customWidth="1"/>
    <col min="8195" max="8195" width="14" style="170" bestFit="1" customWidth="1"/>
    <col min="8196" max="8196" width="11" style="170" bestFit="1" customWidth="1"/>
    <col min="8197" max="8197" width="13" style="170" bestFit="1" customWidth="1"/>
    <col min="8198" max="8198" width="3.88671875" style="170" customWidth="1"/>
    <col min="8199" max="8199" width="10.5546875" style="170" bestFit="1" customWidth="1"/>
    <col min="8200" max="8200" width="10.6640625" style="170" bestFit="1" customWidth="1"/>
    <col min="8201" max="8201" width="12.44140625" style="170" customWidth="1"/>
    <col min="8202" max="8202" width="11.33203125" style="170" bestFit="1" customWidth="1"/>
    <col min="8203" max="8203" width="10.5546875" style="170" customWidth="1"/>
    <col min="8204" max="8204" width="3.88671875" style="170" customWidth="1"/>
    <col min="8205" max="8205" width="0" style="170" hidden="1" customWidth="1"/>
    <col min="8206" max="8206" width="8.6640625" style="170" bestFit="1" customWidth="1"/>
    <col min="8207" max="8207" width="8.6640625" style="170" customWidth="1"/>
    <col min="8208" max="8448" width="11.44140625" style="170"/>
    <col min="8449" max="8449" width="10.44140625" style="170" bestFit="1" customWidth="1"/>
    <col min="8450" max="8450" width="12" style="170" bestFit="1" customWidth="1"/>
    <col min="8451" max="8451" width="14" style="170" bestFit="1" customWidth="1"/>
    <col min="8452" max="8452" width="11" style="170" bestFit="1" customWidth="1"/>
    <col min="8453" max="8453" width="13" style="170" bestFit="1" customWidth="1"/>
    <col min="8454" max="8454" width="3.88671875" style="170" customWidth="1"/>
    <col min="8455" max="8455" width="10.5546875" style="170" bestFit="1" customWidth="1"/>
    <col min="8456" max="8456" width="10.6640625" style="170" bestFit="1" customWidth="1"/>
    <col min="8457" max="8457" width="12.44140625" style="170" customWidth="1"/>
    <col min="8458" max="8458" width="11.33203125" style="170" bestFit="1" customWidth="1"/>
    <col min="8459" max="8459" width="10.5546875" style="170" customWidth="1"/>
    <col min="8460" max="8460" width="3.88671875" style="170" customWidth="1"/>
    <col min="8461" max="8461" width="0" style="170" hidden="1" customWidth="1"/>
    <col min="8462" max="8462" width="8.6640625" style="170" bestFit="1" customWidth="1"/>
    <col min="8463" max="8463" width="8.6640625" style="170" customWidth="1"/>
    <col min="8464" max="8704" width="11.44140625" style="170"/>
    <col min="8705" max="8705" width="10.44140625" style="170" bestFit="1" customWidth="1"/>
    <col min="8706" max="8706" width="12" style="170" bestFit="1" customWidth="1"/>
    <col min="8707" max="8707" width="14" style="170" bestFit="1" customWidth="1"/>
    <col min="8708" max="8708" width="11" style="170" bestFit="1" customWidth="1"/>
    <col min="8709" max="8709" width="13" style="170" bestFit="1" customWidth="1"/>
    <col min="8710" max="8710" width="3.88671875" style="170" customWidth="1"/>
    <col min="8711" max="8711" width="10.5546875" style="170" bestFit="1" customWidth="1"/>
    <col min="8712" max="8712" width="10.6640625" style="170" bestFit="1" customWidth="1"/>
    <col min="8713" max="8713" width="12.44140625" style="170" customWidth="1"/>
    <col min="8714" max="8714" width="11.33203125" style="170" bestFit="1" customWidth="1"/>
    <col min="8715" max="8715" width="10.5546875" style="170" customWidth="1"/>
    <col min="8716" max="8716" width="3.88671875" style="170" customWidth="1"/>
    <col min="8717" max="8717" width="0" style="170" hidden="1" customWidth="1"/>
    <col min="8718" max="8718" width="8.6640625" style="170" bestFit="1" customWidth="1"/>
    <col min="8719" max="8719" width="8.6640625" style="170" customWidth="1"/>
    <col min="8720" max="8960" width="11.44140625" style="170"/>
    <col min="8961" max="8961" width="10.44140625" style="170" bestFit="1" customWidth="1"/>
    <col min="8962" max="8962" width="12" style="170" bestFit="1" customWidth="1"/>
    <col min="8963" max="8963" width="14" style="170" bestFit="1" customWidth="1"/>
    <col min="8964" max="8964" width="11" style="170" bestFit="1" customWidth="1"/>
    <col min="8965" max="8965" width="13" style="170" bestFit="1" customWidth="1"/>
    <col min="8966" max="8966" width="3.88671875" style="170" customWidth="1"/>
    <col min="8967" max="8967" width="10.5546875" style="170" bestFit="1" customWidth="1"/>
    <col min="8968" max="8968" width="10.6640625" style="170" bestFit="1" customWidth="1"/>
    <col min="8969" max="8969" width="12.44140625" style="170" customWidth="1"/>
    <col min="8970" max="8970" width="11.33203125" style="170" bestFit="1" customWidth="1"/>
    <col min="8971" max="8971" width="10.5546875" style="170" customWidth="1"/>
    <col min="8972" max="8972" width="3.88671875" style="170" customWidth="1"/>
    <col min="8973" max="8973" width="0" style="170" hidden="1" customWidth="1"/>
    <col min="8974" max="8974" width="8.6640625" style="170" bestFit="1" customWidth="1"/>
    <col min="8975" max="8975" width="8.6640625" style="170" customWidth="1"/>
    <col min="8976" max="9216" width="11.44140625" style="170"/>
    <col min="9217" max="9217" width="10.44140625" style="170" bestFit="1" customWidth="1"/>
    <col min="9218" max="9218" width="12" style="170" bestFit="1" customWidth="1"/>
    <col min="9219" max="9219" width="14" style="170" bestFit="1" customWidth="1"/>
    <col min="9220" max="9220" width="11" style="170" bestFit="1" customWidth="1"/>
    <col min="9221" max="9221" width="13" style="170" bestFit="1" customWidth="1"/>
    <col min="9222" max="9222" width="3.88671875" style="170" customWidth="1"/>
    <col min="9223" max="9223" width="10.5546875" style="170" bestFit="1" customWidth="1"/>
    <col min="9224" max="9224" width="10.6640625" style="170" bestFit="1" customWidth="1"/>
    <col min="9225" max="9225" width="12.44140625" style="170" customWidth="1"/>
    <col min="9226" max="9226" width="11.33203125" style="170" bestFit="1" customWidth="1"/>
    <col min="9227" max="9227" width="10.5546875" style="170" customWidth="1"/>
    <col min="9228" max="9228" width="3.88671875" style="170" customWidth="1"/>
    <col min="9229" max="9229" width="0" style="170" hidden="1" customWidth="1"/>
    <col min="9230" max="9230" width="8.6640625" style="170" bestFit="1" customWidth="1"/>
    <col min="9231" max="9231" width="8.6640625" style="170" customWidth="1"/>
    <col min="9232" max="9472" width="11.44140625" style="170"/>
    <col min="9473" max="9473" width="10.44140625" style="170" bestFit="1" customWidth="1"/>
    <col min="9474" max="9474" width="12" style="170" bestFit="1" customWidth="1"/>
    <col min="9475" max="9475" width="14" style="170" bestFit="1" customWidth="1"/>
    <col min="9476" max="9476" width="11" style="170" bestFit="1" customWidth="1"/>
    <col min="9477" max="9477" width="13" style="170" bestFit="1" customWidth="1"/>
    <col min="9478" max="9478" width="3.88671875" style="170" customWidth="1"/>
    <col min="9479" max="9479" width="10.5546875" style="170" bestFit="1" customWidth="1"/>
    <col min="9480" max="9480" width="10.6640625" style="170" bestFit="1" customWidth="1"/>
    <col min="9481" max="9481" width="12.44140625" style="170" customWidth="1"/>
    <col min="9482" max="9482" width="11.33203125" style="170" bestFit="1" customWidth="1"/>
    <col min="9483" max="9483" width="10.5546875" style="170" customWidth="1"/>
    <col min="9484" max="9484" width="3.88671875" style="170" customWidth="1"/>
    <col min="9485" max="9485" width="0" style="170" hidden="1" customWidth="1"/>
    <col min="9486" max="9486" width="8.6640625" style="170" bestFit="1" customWidth="1"/>
    <col min="9487" max="9487" width="8.6640625" style="170" customWidth="1"/>
    <col min="9488" max="9728" width="11.44140625" style="170"/>
    <col min="9729" max="9729" width="10.44140625" style="170" bestFit="1" customWidth="1"/>
    <col min="9730" max="9730" width="12" style="170" bestFit="1" customWidth="1"/>
    <col min="9731" max="9731" width="14" style="170" bestFit="1" customWidth="1"/>
    <col min="9732" max="9732" width="11" style="170" bestFit="1" customWidth="1"/>
    <col min="9733" max="9733" width="13" style="170" bestFit="1" customWidth="1"/>
    <col min="9734" max="9734" width="3.88671875" style="170" customWidth="1"/>
    <col min="9735" max="9735" width="10.5546875" style="170" bestFit="1" customWidth="1"/>
    <col min="9736" max="9736" width="10.6640625" style="170" bestFit="1" customWidth="1"/>
    <col min="9737" max="9737" width="12.44140625" style="170" customWidth="1"/>
    <col min="9738" max="9738" width="11.33203125" style="170" bestFit="1" customWidth="1"/>
    <col min="9739" max="9739" width="10.5546875" style="170" customWidth="1"/>
    <col min="9740" max="9740" width="3.88671875" style="170" customWidth="1"/>
    <col min="9741" max="9741" width="0" style="170" hidden="1" customWidth="1"/>
    <col min="9742" max="9742" width="8.6640625" style="170" bestFit="1" customWidth="1"/>
    <col min="9743" max="9743" width="8.6640625" style="170" customWidth="1"/>
    <col min="9744" max="9984" width="11.44140625" style="170"/>
    <col min="9985" max="9985" width="10.44140625" style="170" bestFit="1" customWidth="1"/>
    <col min="9986" max="9986" width="12" style="170" bestFit="1" customWidth="1"/>
    <col min="9987" max="9987" width="14" style="170" bestFit="1" customWidth="1"/>
    <col min="9988" max="9988" width="11" style="170" bestFit="1" customWidth="1"/>
    <col min="9989" max="9989" width="13" style="170" bestFit="1" customWidth="1"/>
    <col min="9990" max="9990" width="3.88671875" style="170" customWidth="1"/>
    <col min="9991" max="9991" width="10.5546875" style="170" bestFit="1" customWidth="1"/>
    <col min="9992" max="9992" width="10.6640625" style="170" bestFit="1" customWidth="1"/>
    <col min="9993" max="9993" width="12.44140625" style="170" customWidth="1"/>
    <col min="9994" max="9994" width="11.33203125" style="170" bestFit="1" customWidth="1"/>
    <col min="9995" max="9995" width="10.5546875" style="170" customWidth="1"/>
    <col min="9996" max="9996" width="3.88671875" style="170" customWidth="1"/>
    <col min="9997" max="9997" width="0" style="170" hidden="1" customWidth="1"/>
    <col min="9998" max="9998" width="8.6640625" style="170" bestFit="1" customWidth="1"/>
    <col min="9999" max="9999" width="8.6640625" style="170" customWidth="1"/>
    <col min="10000" max="10240" width="11.44140625" style="170"/>
    <col min="10241" max="10241" width="10.44140625" style="170" bestFit="1" customWidth="1"/>
    <col min="10242" max="10242" width="12" style="170" bestFit="1" customWidth="1"/>
    <col min="10243" max="10243" width="14" style="170" bestFit="1" customWidth="1"/>
    <col min="10244" max="10244" width="11" style="170" bestFit="1" customWidth="1"/>
    <col min="10245" max="10245" width="13" style="170" bestFit="1" customWidth="1"/>
    <col min="10246" max="10246" width="3.88671875" style="170" customWidth="1"/>
    <col min="10247" max="10247" width="10.5546875" style="170" bestFit="1" customWidth="1"/>
    <col min="10248" max="10248" width="10.6640625" style="170" bestFit="1" customWidth="1"/>
    <col min="10249" max="10249" width="12.44140625" style="170" customWidth="1"/>
    <col min="10250" max="10250" width="11.33203125" style="170" bestFit="1" customWidth="1"/>
    <col min="10251" max="10251" width="10.5546875" style="170" customWidth="1"/>
    <col min="10252" max="10252" width="3.88671875" style="170" customWidth="1"/>
    <col min="10253" max="10253" width="0" style="170" hidden="1" customWidth="1"/>
    <col min="10254" max="10254" width="8.6640625" style="170" bestFit="1" customWidth="1"/>
    <col min="10255" max="10255" width="8.6640625" style="170" customWidth="1"/>
    <col min="10256" max="10496" width="11.44140625" style="170"/>
    <col min="10497" max="10497" width="10.44140625" style="170" bestFit="1" customWidth="1"/>
    <col min="10498" max="10498" width="12" style="170" bestFit="1" customWidth="1"/>
    <col min="10499" max="10499" width="14" style="170" bestFit="1" customWidth="1"/>
    <col min="10500" max="10500" width="11" style="170" bestFit="1" customWidth="1"/>
    <col min="10501" max="10501" width="13" style="170" bestFit="1" customWidth="1"/>
    <col min="10502" max="10502" width="3.88671875" style="170" customWidth="1"/>
    <col min="10503" max="10503" width="10.5546875" style="170" bestFit="1" customWidth="1"/>
    <col min="10504" max="10504" width="10.6640625" style="170" bestFit="1" customWidth="1"/>
    <col min="10505" max="10505" width="12.44140625" style="170" customWidth="1"/>
    <col min="10506" max="10506" width="11.33203125" style="170" bestFit="1" customWidth="1"/>
    <col min="10507" max="10507" width="10.5546875" style="170" customWidth="1"/>
    <col min="10508" max="10508" width="3.88671875" style="170" customWidth="1"/>
    <col min="10509" max="10509" width="0" style="170" hidden="1" customWidth="1"/>
    <col min="10510" max="10510" width="8.6640625" style="170" bestFit="1" customWidth="1"/>
    <col min="10511" max="10511" width="8.6640625" style="170" customWidth="1"/>
    <col min="10512" max="10752" width="11.44140625" style="170"/>
    <col min="10753" max="10753" width="10.44140625" style="170" bestFit="1" customWidth="1"/>
    <col min="10754" max="10754" width="12" style="170" bestFit="1" customWidth="1"/>
    <col min="10755" max="10755" width="14" style="170" bestFit="1" customWidth="1"/>
    <col min="10756" max="10756" width="11" style="170" bestFit="1" customWidth="1"/>
    <col min="10757" max="10757" width="13" style="170" bestFit="1" customWidth="1"/>
    <col min="10758" max="10758" width="3.88671875" style="170" customWidth="1"/>
    <col min="10759" max="10759" width="10.5546875" style="170" bestFit="1" customWidth="1"/>
    <col min="10760" max="10760" width="10.6640625" style="170" bestFit="1" customWidth="1"/>
    <col min="10761" max="10761" width="12.44140625" style="170" customWidth="1"/>
    <col min="10762" max="10762" width="11.33203125" style="170" bestFit="1" customWidth="1"/>
    <col min="10763" max="10763" width="10.5546875" style="170" customWidth="1"/>
    <col min="10764" max="10764" width="3.88671875" style="170" customWidth="1"/>
    <col min="10765" max="10765" width="0" style="170" hidden="1" customWidth="1"/>
    <col min="10766" max="10766" width="8.6640625" style="170" bestFit="1" customWidth="1"/>
    <col min="10767" max="10767" width="8.6640625" style="170" customWidth="1"/>
    <col min="10768" max="11008" width="11.44140625" style="170"/>
    <col min="11009" max="11009" width="10.44140625" style="170" bestFit="1" customWidth="1"/>
    <col min="11010" max="11010" width="12" style="170" bestFit="1" customWidth="1"/>
    <col min="11011" max="11011" width="14" style="170" bestFit="1" customWidth="1"/>
    <col min="11012" max="11012" width="11" style="170" bestFit="1" customWidth="1"/>
    <col min="11013" max="11013" width="13" style="170" bestFit="1" customWidth="1"/>
    <col min="11014" max="11014" width="3.88671875" style="170" customWidth="1"/>
    <col min="11015" max="11015" width="10.5546875" style="170" bestFit="1" customWidth="1"/>
    <col min="11016" max="11016" width="10.6640625" style="170" bestFit="1" customWidth="1"/>
    <col min="11017" max="11017" width="12.44140625" style="170" customWidth="1"/>
    <col min="11018" max="11018" width="11.33203125" style="170" bestFit="1" customWidth="1"/>
    <col min="11019" max="11019" width="10.5546875" style="170" customWidth="1"/>
    <col min="11020" max="11020" width="3.88671875" style="170" customWidth="1"/>
    <col min="11021" max="11021" width="0" style="170" hidden="1" customWidth="1"/>
    <col min="11022" max="11022" width="8.6640625" style="170" bestFit="1" customWidth="1"/>
    <col min="11023" max="11023" width="8.6640625" style="170" customWidth="1"/>
    <col min="11024" max="11264" width="11.44140625" style="170"/>
    <col min="11265" max="11265" width="10.44140625" style="170" bestFit="1" customWidth="1"/>
    <col min="11266" max="11266" width="12" style="170" bestFit="1" customWidth="1"/>
    <col min="11267" max="11267" width="14" style="170" bestFit="1" customWidth="1"/>
    <col min="11268" max="11268" width="11" style="170" bestFit="1" customWidth="1"/>
    <col min="11269" max="11269" width="13" style="170" bestFit="1" customWidth="1"/>
    <col min="11270" max="11270" width="3.88671875" style="170" customWidth="1"/>
    <col min="11271" max="11271" width="10.5546875" style="170" bestFit="1" customWidth="1"/>
    <col min="11272" max="11272" width="10.6640625" style="170" bestFit="1" customWidth="1"/>
    <col min="11273" max="11273" width="12.44140625" style="170" customWidth="1"/>
    <col min="11274" max="11274" width="11.33203125" style="170" bestFit="1" customWidth="1"/>
    <col min="11275" max="11275" width="10.5546875" style="170" customWidth="1"/>
    <col min="11276" max="11276" width="3.88671875" style="170" customWidth="1"/>
    <col min="11277" max="11277" width="0" style="170" hidden="1" customWidth="1"/>
    <col min="11278" max="11278" width="8.6640625" style="170" bestFit="1" customWidth="1"/>
    <col min="11279" max="11279" width="8.6640625" style="170" customWidth="1"/>
    <col min="11280" max="11520" width="11.44140625" style="170"/>
    <col min="11521" max="11521" width="10.44140625" style="170" bestFit="1" customWidth="1"/>
    <col min="11522" max="11522" width="12" style="170" bestFit="1" customWidth="1"/>
    <col min="11523" max="11523" width="14" style="170" bestFit="1" customWidth="1"/>
    <col min="11524" max="11524" width="11" style="170" bestFit="1" customWidth="1"/>
    <col min="11525" max="11525" width="13" style="170" bestFit="1" customWidth="1"/>
    <col min="11526" max="11526" width="3.88671875" style="170" customWidth="1"/>
    <col min="11527" max="11527" width="10.5546875" style="170" bestFit="1" customWidth="1"/>
    <col min="11528" max="11528" width="10.6640625" style="170" bestFit="1" customWidth="1"/>
    <col min="11529" max="11529" width="12.44140625" style="170" customWidth="1"/>
    <col min="11530" max="11530" width="11.33203125" style="170" bestFit="1" customWidth="1"/>
    <col min="11531" max="11531" width="10.5546875" style="170" customWidth="1"/>
    <col min="11532" max="11532" width="3.88671875" style="170" customWidth="1"/>
    <col min="11533" max="11533" width="0" style="170" hidden="1" customWidth="1"/>
    <col min="11534" max="11534" width="8.6640625" style="170" bestFit="1" customWidth="1"/>
    <col min="11535" max="11535" width="8.6640625" style="170" customWidth="1"/>
    <col min="11536" max="11776" width="11.44140625" style="170"/>
    <col min="11777" max="11777" width="10.44140625" style="170" bestFit="1" customWidth="1"/>
    <col min="11778" max="11778" width="12" style="170" bestFit="1" customWidth="1"/>
    <col min="11779" max="11779" width="14" style="170" bestFit="1" customWidth="1"/>
    <col min="11780" max="11780" width="11" style="170" bestFit="1" customWidth="1"/>
    <col min="11781" max="11781" width="13" style="170" bestFit="1" customWidth="1"/>
    <col min="11782" max="11782" width="3.88671875" style="170" customWidth="1"/>
    <col min="11783" max="11783" width="10.5546875" style="170" bestFit="1" customWidth="1"/>
    <col min="11784" max="11784" width="10.6640625" style="170" bestFit="1" customWidth="1"/>
    <col min="11785" max="11785" width="12.44140625" style="170" customWidth="1"/>
    <col min="11786" max="11786" width="11.33203125" style="170" bestFit="1" customWidth="1"/>
    <col min="11787" max="11787" width="10.5546875" style="170" customWidth="1"/>
    <col min="11788" max="11788" width="3.88671875" style="170" customWidth="1"/>
    <col min="11789" max="11789" width="0" style="170" hidden="1" customWidth="1"/>
    <col min="11790" max="11790" width="8.6640625" style="170" bestFit="1" customWidth="1"/>
    <col min="11791" max="11791" width="8.6640625" style="170" customWidth="1"/>
    <col min="11792" max="12032" width="11.44140625" style="170"/>
    <col min="12033" max="12033" width="10.44140625" style="170" bestFit="1" customWidth="1"/>
    <col min="12034" max="12034" width="12" style="170" bestFit="1" customWidth="1"/>
    <col min="12035" max="12035" width="14" style="170" bestFit="1" customWidth="1"/>
    <col min="12036" max="12036" width="11" style="170" bestFit="1" customWidth="1"/>
    <col min="12037" max="12037" width="13" style="170" bestFit="1" customWidth="1"/>
    <col min="12038" max="12038" width="3.88671875" style="170" customWidth="1"/>
    <col min="12039" max="12039" width="10.5546875" style="170" bestFit="1" customWidth="1"/>
    <col min="12040" max="12040" width="10.6640625" style="170" bestFit="1" customWidth="1"/>
    <col min="12041" max="12041" width="12.44140625" style="170" customWidth="1"/>
    <col min="12042" max="12042" width="11.33203125" style="170" bestFit="1" customWidth="1"/>
    <col min="12043" max="12043" width="10.5546875" style="170" customWidth="1"/>
    <col min="12044" max="12044" width="3.88671875" style="170" customWidth="1"/>
    <col min="12045" max="12045" width="0" style="170" hidden="1" customWidth="1"/>
    <col min="12046" max="12046" width="8.6640625" style="170" bestFit="1" customWidth="1"/>
    <col min="12047" max="12047" width="8.6640625" style="170" customWidth="1"/>
    <col min="12048" max="12288" width="11.44140625" style="170"/>
    <col min="12289" max="12289" width="10.44140625" style="170" bestFit="1" customWidth="1"/>
    <col min="12290" max="12290" width="12" style="170" bestFit="1" customWidth="1"/>
    <col min="12291" max="12291" width="14" style="170" bestFit="1" customWidth="1"/>
    <col min="12292" max="12292" width="11" style="170" bestFit="1" customWidth="1"/>
    <col min="12293" max="12293" width="13" style="170" bestFit="1" customWidth="1"/>
    <col min="12294" max="12294" width="3.88671875" style="170" customWidth="1"/>
    <col min="12295" max="12295" width="10.5546875" style="170" bestFit="1" customWidth="1"/>
    <col min="12296" max="12296" width="10.6640625" style="170" bestFit="1" customWidth="1"/>
    <col min="12297" max="12297" width="12.44140625" style="170" customWidth="1"/>
    <col min="12298" max="12298" width="11.33203125" style="170" bestFit="1" customWidth="1"/>
    <col min="12299" max="12299" width="10.5546875" style="170" customWidth="1"/>
    <col min="12300" max="12300" width="3.88671875" style="170" customWidth="1"/>
    <col min="12301" max="12301" width="0" style="170" hidden="1" customWidth="1"/>
    <col min="12302" max="12302" width="8.6640625" style="170" bestFit="1" customWidth="1"/>
    <col min="12303" max="12303" width="8.6640625" style="170" customWidth="1"/>
    <col min="12304" max="12544" width="11.44140625" style="170"/>
    <col min="12545" max="12545" width="10.44140625" style="170" bestFit="1" customWidth="1"/>
    <col min="12546" max="12546" width="12" style="170" bestFit="1" customWidth="1"/>
    <col min="12547" max="12547" width="14" style="170" bestFit="1" customWidth="1"/>
    <col min="12548" max="12548" width="11" style="170" bestFit="1" customWidth="1"/>
    <col min="12549" max="12549" width="13" style="170" bestFit="1" customWidth="1"/>
    <col min="12550" max="12550" width="3.88671875" style="170" customWidth="1"/>
    <col min="12551" max="12551" width="10.5546875" style="170" bestFit="1" customWidth="1"/>
    <col min="12552" max="12552" width="10.6640625" style="170" bestFit="1" customWidth="1"/>
    <col min="12553" max="12553" width="12.44140625" style="170" customWidth="1"/>
    <col min="12554" max="12554" width="11.33203125" style="170" bestFit="1" customWidth="1"/>
    <col min="12555" max="12555" width="10.5546875" style="170" customWidth="1"/>
    <col min="12556" max="12556" width="3.88671875" style="170" customWidth="1"/>
    <col min="12557" max="12557" width="0" style="170" hidden="1" customWidth="1"/>
    <col min="12558" max="12558" width="8.6640625" style="170" bestFit="1" customWidth="1"/>
    <col min="12559" max="12559" width="8.6640625" style="170" customWidth="1"/>
    <col min="12560" max="12800" width="11.44140625" style="170"/>
    <col min="12801" max="12801" width="10.44140625" style="170" bestFit="1" customWidth="1"/>
    <col min="12802" max="12802" width="12" style="170" bestFit="1" customWidth="1"/>
    <col min="12803" max="12803" width="14" style="170" bestFit="1" customWidth="1"/>
    <col min="12804" max="12804" width="11" style="170" bestFit="1" customWidth="1"/>
    <col min="12805" max="12805" width="13" style="170" bestFit="1" customWidth="1"/>
    <col min="12806" max="12806" width="3.88671875" style="170" customWidth="1"/>
    <col min="12807" max="12807" width="10.5546875" style="170" bestFit="1" customWidth="1"/>
    <col min="12808" max="12808" width="10.6640625" style="170" bestFit="1" customWidth="1"/>
    <col min="12809" max="12809" width="12.44140625" style="170" customWidth="1"/>
    <col min="12810" max="12810" width="11.33203125" style="170" bestFit="1" customWidth="1"/>
    <col min="12811" max="12811" width="10.5546875" style="170" customWidth="1"/>
    <col min="12812" max="12812" width="3.88671875" style="170" customWidth="1"/>
    <col min="12813" max="12813" width="0" style="170" hidden="1" customWidth="1"/>
    <col min="12814" max="12814" width="8.6640625" style="170" bestFit="1" customWidth="1"/>
    <col min="12815" max="12815" width="8.6640625" style="170" customWidth="1"/>
    <col min="12816" max="13056" width="11.44140625" style="170"/>
    <col min="13057" max="13057" width="10.44140625" style="170" bestFit="1" customWidth="1"/>
    <col min="13058" max="13058" width="12" style="170" bestFit="1" customWidth="1"/>
    <col min="13059" max="13059" width="14" style="170" bestFit="1" customWidth="1"/>
    <col min="13060" max="13060" width="11" style="170" bestFit="1" customWidth="1"/>
    <col min="13061" max="13061" width="13" style="170" bestFit="1" customWidth="1"/>
    <col min="13062" max="13062" width="3.88671875" style="170" customWidth="1"/>
    <col min="13063" max="13063" width="10.5546875" style="170" bestFit="1" customWidth="1"/>
    <col min="13064" max="13064" width="10.6640625" style="170" bestFit="1" customWidth="1"/>
    <col min="13065" max="13065" width="12.44140625" style="170" customWidth="1"/>
    <col min="13066" max="13066" width="11.33203125" style="170" bestFit="1" customWidth="1"/>
    <col min="13067" max="13067" width="10.5546875" style="170" customWidth="1"/>
    <col min="13068" max="13068" width="3.88671875" style="170" customWidth="1"/>
    <col min="13069" max="13069" width="0" style="170" hidden="1" customWidth="1"/>
    <col min="13070" max="13070" width="8.6640625" style="170" bestFit="1" customWidth="1"/>
    <col min="13071" max="13071" width="8.6640625" style="170" customWidth="1"/>
    <col min="13072" max="13312" width="11.44140625" style="170"/>
    <col min="13313" max="13313" width="10.44140625" style="170" bestFit="1" customWidth="1"/>
    <col min="13314" max="13314" width="12" style="170" bestFit="1" customWidth="1"/>
    <col min="13315" max="13315" width="14" style="170" bestFit="1" customWidth="1"/>
    <col min="13316" max="13316" width="11" style="170" bestFit="1" customWidth="1"/>
    <col min="13317" max="13317" width="13" style="170" bestFit="1" customWidth="1"/>
    <col min="13318" max="13318" width="3.88671875" style="170" customWidth="1"/>
    <col min="13319" max="13319" width="10.5546875" style="170" bestFit="1" customWidth="1"/>
    <col min="13320" max="13320" width="10.6640625" style="170" bestFit="1" customWidth="1"/>
    <col min="13321" max="13321" width="12.44140625" style="170" customWidth="1"/>
    <col min="13322" max="13322" width="11.33203125" style="170" bestFit="1" customWidth="1"/>
    <col min="13323" max="13323" width="10.5546875" style="170" customWidth="1"/>
    <col min="13324" max="13324" width="3.88671875" style="170" customWidth="1"/>
    <col min="13325" max="13325" width="0" style="170" hidden="1" customWidth="1"/>
    <col min="13326" max="13326" width="8.6640625" style="170" bestFit="1" customWidth="1"/>
    <col min="13327" max="13327" width="8.6640625" style="170" customWidth="1"/>
    <col min="13328" max="13568" width="11.44140625" style="170"/>
    <col min="13569" max="13569" width="10.44140625" style="170" bestFit="1" customWidth="1"/>
    <col min="13570" max="13570" width="12" style="170" bestFit="1" customWidth="1"/>
    <col min="13571" max="13571" width="14" style="170" bestFit="1" customWidth="1"/>
    <col min="13572" max="13572" width="11" style="170" bestFit="1" customWidth="1"/>
    <col min="13573" max="13573" width="13" style="170" bestFit="1" customWidth="1"/>
    <col min="13574" max="13574" width="3.88671875" style="170" customWidth="1"/>
    <col min="13575" max="13575" width="10.5546875" style="170" bestFit="1" customWidth="1"/>
    <col min="13576" max="13576" width="10.6640625" style="170" bestFit="1" customWidth="1"/>
    <col min="13577" max="13577" width="12.44140625" style="170" customWidth="1"/>
    <col min="13578" max="13578" width="11.33203125" style="170" bestFit="1" customWidth="1"/>
    <col min="13579" max="13579" width="10.5546875" style="170" customWidth="1"/>
    <col min="13580" max="13580" width="3.88671875" style="170" customWidth="1"/>
    <col min="13581" max="13581" width="0" style="170" hidden="1" customWidth="1"/>
    <col min="13582" max="13582" width="8.6640625" style="170" bestFit="1" customWidth="1"/>
    <col min="13583" max="13583" width="8.6640625" style="170" customWidth="1"/>
    <col min="13584" max="13824" width="11.44140625" style="170"/>
    <col min="13825" max="13825" width="10.44140625" style="170" bestFit="1" customWidth="1"/>
    <col min="13826" max="13826" width="12" style="170" bestFit="1" customWidth="1"/>
    <col min="13827" max="13827" width="14" style="170" bestFit="1" customWidth="1"/>
    <col min="13828" max="13828" width="11" style="170" bestFit="1" customWidth="1"/>
    <col min="13829" max="13829" width="13" style="170" bestFit="1" customWidth="1"/>
    <col min="13830" max="13830" width="3.88671875" style="170" customWidth="1"/>
    <col min="13831" max="13831" width="10.5546875" style="170" bestFit="1" customWidth="1"/>
    <col min="13832" max="13832" width="10.6640625" style="170" bestFit="1" customWidth="1"/>
    <col min="13833" max="13833" width="12.44140625" style="170" customWidth="1"/>
    <col min="13834" max="13834" width="11.33203125" style="170" bestFit="1" customWidth="1"/>
    <col min="13835" max="13835" width="10.5546875" style="170" customWidth="1"/>
    <col min="13836" max="13836" width="3.88671875" style="170" customWidth="1"/>
    <col min="13837" max="13837" width="0" style="170" hidden="1" customWidth="1"/>
    <col min="13838" max="13838" width="8.6640625" style="170" bestFit="1" customWidth="1"/>
    <col min="13839" max="13839" width="8.6640625" style="170" customWidth="1"/>
    <col min="13840" max="14080" width="11.44140625" style="170"/>
    <col min="14081" max="14081" width="10.44140625" style="170" bestFit="1" customWidth="1"/>
    <col min="14082" max="14082" width="12" style="170" bestFit="1" customWidth="1"/>
    <col min="14083" max="14083" width="14" style="170" bestFit="1" customWidth="1"/>
    <col min="14084" max="14084" width="11" style="170" bestFit="1" customWidth="1"/>
    <col min="14085" max="14085" width="13" style="170" bestFit="1" customWidth="1"/>
    <col min="14086" max="14086" width="3.88671875" style="170" customWidth="1"/>
    <col min="14087" max="14087" width="10.5546875" style="170" bestFit="1" customWidth="1"/>
    <col min="14088" max="14088" width="10.6640625" style="170" bestFit="1" customWidth="1"/>
    <col min="14089" max="14089" width="12.44140625" style="170" customWidth="1"/>
    <col min="14090" max="14090" width="11.33203125" style="170" bestFit="1" customWidth="1"/>
    <col min="14091" max="14091" width="10.5546875" style="170" customWidth="1"/>
    <col min="14092" max="14092" width="3.88671875" style="170" customWidth="1"/>
    <col min="14093" max="14093" width="0" style="170" hidden="1" customWidth="1"/>
    <col min="14094" max="14094" width="8.6640625" style="170" bestFit="1" customWidth="1"/>
    <col min="14095" max="14095" width="8.6640625" style="170" customWidth="1"/>
    <col min="14096" max="14336" width="11.44140625" style="170"/>
    <col min="14337" max="14337" width="10.44140625" style="170" bestFit="1" customWidth="1"/>
    <col min="14338" max="14338" width="12" style="170" bestFit="1" customWidth="1"/>
    <col min="14339" max="14339" width="14" style="170" bestFit="1" customWidth="1"/>
    <col min="14340" max="14340" width="11" style="170" bestFit="1" customWidth="1"/>
    <col min="14341" max="14341" width="13" style="170" bestFit="1" customWidth="1"/>
    <col min="14342" max="14342" width="3.88671875" style="170" customWidth="1"/>
    <col min="14343" max="14343" width="10.5546875" style="170" bestFit="1" customWidth="1"/>
    <col min="14344" max="14344" width="10.6640625" style="170" bestFit="1" customWidth="1"/>
    <col min="14345" max="14345" width="12.44140625" style="170" customWidth="1"/>
    <col min="14346" max="14346" width="11.33203125" style="170" bestFit="1" customWidth="1"/>
    <col min="14347" max="14347" width="10.5546875" style="170" customWidth="1"/>
    <col min="14348" max="14348" width="3.88671875" style="170" customWidth="1"/>
    <col min="14349" max="14349" width="0" style="170" hidden="1" customWidth="1"/>
    <col min="14350" max="14350" width="8.6640625" style="170" bestFit="1" customWidth="1"/>
    <col min="14351" max="14351" width="8.6640625" style="170" customWidth="1"/>
    <col min="14352" max="14592" width="11.44140625" style="170"/>
    <col min="14593" max="14593" width="10.44140625" style="170" bestFit="1" customWidth="1"/>
    <col min="14594" max="14594" width="12" style="170" bestFit="1" customWidth="1"/>
    <col min="14595" max="14595" width="14" style="170" bestFit="1" customWidth="1"/>
    <col min="14596" max="14596" width="11" style="170" bestFit="1" customWidth="1"/>
    <col min="14597" max="14597" width="13" style="170" bestFit="1" customWidth="1"/>
    <col min="14598" max="14598" width="3.88671875" style="170" customWidth="1"/>
    <col min="14599" max="14599" width="10.5546875" style="170" bestFit="1" customWidth="1"/>
    <col min="14600" max="14600" width="10.6640625" style="170" bestFit="1" customWidth="1"/>
    <col min="14601" max="14601" width="12.44140625" style="170" customWidth="1"/>
    <col min="14602" max="14602" width="11.33203125" style="170" bestFit="1" customWidth="1"/>
    <col min="14603" max="14603" width="10.5546875" style="170" customWidth="1"/>
    <col min="14604" max="14604" width="3.88671875" style="170" customWidth="1"/>
    <col min="14605" max="14605" width="0" style="170" hidden="1" customWidth="1"/>
    <col min="14606" max="14606" width="8.6640625" style="170" bestFit="1" customWidth="1"/>
    <col min="14607" max="14607" width="8.6640625" style="170" customWidth="1"/>
    <col min="14608" max="14848" width="11.44140625" style="170"/>
    <col min="14849" max="14849" width="10.44140625" style="170" bestFit="1" customWidth="1"/>
    <col min="14850" max="14850" width="12" style="170" bestFit="1" customWidth="1"/>
    <col min="14851" max="14851" width="14" style="170" bestFit="1" customWidth="1"/>
    <col min="14852" max="14852" width="11" style="170" bestFit="1" customWidth="1"/>
    <col min="14853" max="14853" width="13" style="170" bestFit="1" customWidth="1"/>
    <col min="14854" max="14854" width="3.88671875" style="170" customWidth="1"/>
    <col min="14855" max="14855" width="10.5546875" style="170" bestFit="1" customWidth="1"/>
    <col min="14856" max="14856" width="10.6640625" style="170" bestFit="1" customWidth="1"/>
    <col min="14857" max="14857" width="12.44140625" style="170" customWidth="1"/>
    <col min="14858" max="14858" width="11.33203125" style="170" bestFit="1" customWidth="1"/>
    <col min="14859" max="14859" width="10.5546875" style="170" customWidth="1"/>
    <col min="14860" max="14860" width="3.88671875" style="170" customWidth="1"/>
    <col min="14861" max="14861" width="0" style="170" hidden="1" customWidth="1"/>
    <col min="14862" max="14862" width="8.6640625" style="170" bestFit="1" customWidth="1"/>
    <col min="14863" max="14863" width="8.6640625" style="170" customWidth="1"/>
    <col min="14864" max="15104" width="11.44140625" style="170"/>
    <col min="15105" max="15105" width="10.44140625" style="170" bestFit="1" customWidth="1"/>
    <col min="15106" max="15106" width="12" style="170" bestFit="1" customWidth="1"/>
    <col min="15107" max="15107" width="14" style="170" bestFit="1" customWidth="1"/>
    <col min="15108" max="15108" width="11" style="170" bestFit="1" customWidth="1"/>
    <col min="15109" max="15109" width="13" style="170" bestFit="1" customWidth="1"/>
    <col min="15110" max="15110" width="3.88671875" style="170" customWidth="1"/>
    <col min="15111" max="15111" width="10.5546875" style="170" bestFit="1" customWidth="1"/>
    <col min="15112" max="15112" width="10.6640625" style="170" bestFit="1" customWidth="1"/>
    <col min="15113" max="15113" width="12.44140625" style="170" customWidth="1"/>
    <col min="15114" max="15114" width="11.33203125" style="170" bestFit="1" customWidth="1"/>
    <col min="15115" max="15115" width="10.5546875" style="170" customWidth="1"/>
    <col min="15116" max="15116" width="3.88671875" style="170" customWidth="1"/>
    <col min="15117" max="15117" width="0" style="170" hidden="1" customWidth="1"/>
    <col min="15118" max="15118" width="8.6640625" style="170" bestFit="1" customWidth="1"/>
    <col min="15119" max="15119" width="8.6640625" style="170" customWidth="1"/>
    <col min="15120" max="15360" width="11.44140625" style="170"/>
    <col min="15361" max="15361" width="10.44140625" style="170" bestFit="1" customWidth="1"/>
    <col min="15362" max="15362" width="12" style="170" bestFit="1" customWidth="1"/>
    <col min="15363" max="15363" width="14" style="170" bestFit="1" customWidth="1"/>
    <col min="15364" max="15364" width="11" style="170" bestFit="1" customWidth="1"/>
    <col min="15365" max="15365" width="13" style="170" bestFit="1" customWidth="1"/>
    <col min="15366" max="15366" width="3.88671875" style="170" customWidth="1"/>
    <col min="15367" max="15367" width="10.5546875" style="170" bestFit="1" customWidth="1"/>
    <col min="15368" max="15368" width="10.6640625" style="170" bestFit="1" customWidth="1"/>
    <col min="15369" max="15369" width="12.44140625" style="170" customWidth="1"/>
    <col min="15370" max="15370" width="11.33203125" style="170" bestFit="1" customWidth="1"/>
    <col min="15371" max="15371" width="10.5546875" style="170" customWidth="1"/>
    <col min="15372" max="15372" width="3.88671875" style="170" customWidth="1"/>
    <col min="15373" max="15373" width="0" style="170" hidden="1" customWidth="1"/>
    <col min="15374" max="15374" width="8.6640625" style="170" bestFit="1" customWidth="1"/>
    <col min="15375" max="15375" width="8.6640625" style="170" customWidth="1"/>
    <col min="15376" max="15616" width="11.44140625" style="170"/>
    <col min="15617" max="15617" width="10.44140625" style="170" bestFit="1" customWidth="1"/>
    <col min="15618" max="15618" width="12" style="170" bestFit="1" customWidth="1"/>
    <col min="15619" max="15619" width="14" style="170" bestFit="1" customWidth="1"/>
    <col min="15620" max="15620" width="11" style="170" bestFit="1" customWidth="1"/>
    <col min="15621" max="15621" width="13" style="170" bestFit="1" customWidth="1"/>
    <col min="15622" max="15622" width="3.88671875" style="170" customWidth="1"/>
    <col min="15623" max="15623" width="10.5546875" style="170" bestFit="1" customWidth="1"/>
    <col min="15624" max="15624" width="10.6640625" style="170" bestFit="1" customWidth="1"/>
    <col min="15625" max="15625" width="12.44140625" style="170" customWidth="1"/>
    <col min="15626" max="15626" width="11.33203125" style="170" bestFit="1" customWidth="1"/>
    <col min="15627" max="15627" width="10.5546875" style="170" customWidth="1"/>
    <col min="15628" max="15628" width="3.88671875" style="170" customWidth="1"/>
    <col min="15629" max="15629" width="0" style="170" hidden="1" customWidth="1"/>
    <col min="15630" max="15630" width="8.6640625" style="170" bestFit="1" customWidth="1"/>
    <col min="15631" max="15631" width="8.6640625" style="170" customWidth="1"/>
    <col min="15632" max="15872" width="11.44140625" style="170"/>
    <col min="15873" max="15873" width="10.44140625" style="170" bestFit="1" customWidth="1"/>
    <col min="15874" max="15874" width="12" style="170" bestFit="1" customWidth="1"/>
    <col min="15875" max="15875" width="14" style="170" bestFit="1" customWidth="1"/>
    <col min="15876" max="15876" width="11" style="170" bestFit="1" customWidth="1"/>
    <col min="15877" max="15877" width="13" style="170" bestFit="1" customWidth="1"/>
    <col min="15878" max="15878" width="3.88671875" style="170" customWidth="1"/>
    <col min="15879" max="15879" width="10.5546875" style="170" bestFit="1" customWidth="1"/>
    <col min="15880" max="15880" width="10.6640625" style="170" bestFit="1" customWidth="1"/>
    <col min="15881" max="15881" width="12.44140625" style="170" customWidth="1"/>
    <col min="15882" max="15882" width="11.33203125" style="170" bestFit="1" customWidth="1"/>
    <col min="15883" max="15883" width="10.5546875" style="170" customWidth="1"/>
    <col min="15884" max="15884" width="3.88671875" style="170" customWidth="1"/>
    <col min="15885" max="15885" width="0" style="170" hidden="1" customWidth="1"/>
    <col min="15886" max="15886" width="8.6640625" style="170" bestFit="1" customWidth="1"/>
    <col min="15887" max="15887" width="8.6640625" style="170" customWidth="1"/>
    <col min="15888" max="16128" width="11.44140625" style="170"/>
    <col min="16129" max="16129" width="10.44140625" style="170" bestFit="1" customWidth="1"/>
    <col min="16130" max="16130" width="12" style="170" bestFit="1" customWidth="1"/>
    <col min="16131" max="16131" width="14" style="170" bestFit="1" customWidth="1"/>
    <col min="16132" max="16132" width="11" style="170" bestFit="1" customWidth="1"/>
    <col min="16133" max="16133" width="13" style="170" bestFit="1" customWidth="1"/>
    <col min="16134" max="16134" width="3.88671875" style="170" customWidth="1"/>
    <col min="16135" max="16135" width="10.5546875" style="170" bestFit="1" customWidth="1"/>
    <col min="16136" max="16136" width="10.6640625" style="170" bestFit="1" customWidth="1"/>
    <col min="16137" max="16137" width="12.44140625" style="170" customWidth="1"/>
    <col min="16138" max="16138" width="11.33203125" style="170" bestFit="1" customWidth="1"/>
    <col min="16139" max="16139" width="10.5546875" style="170" customWidth="1"/>
    <col min="16140" max="16140" width="3.88671875" style="170" customWidth="1"/>
    <col min="16141" max="16141" width="0" style="170" hidden="1" customWidth="1"/>
    <col min="16142" max="16142" width="8.6640625" style="170" bestFit="1" customWidth="1"/>
    <col min="16143" max="16143" width="8.6640625" style="170" customWidth="1"/>
    <col min="16144" max="16384" width="11.44140625" style="170"/>
  </cols>
  <sheetData>
    <row r="1" spans="1:15" s="162" customFormat="1" x14ac:dyDescent="0.4">
      <c r="A1" s="159" t="s">
        <v>47</v>
      </c>
      <c r="B1" s="160" t="s">
        <v>48</v>
      </c>
      <c r="C1" s="159" t="s">
        <v>49</v>
      </c>
      <c r="D1" s="160" t="s">
        <v>50</v>
      </c>
      <c r="E1" s="160" t="s">
        <v>51</v>
      </c>
      <c r="F1" s="160"/>
      <c r="G1" s="159" t="s">
        <v>47</v>
      </c>
      <c r="H1" s="160" t="s">
        <v>52</v>
      </c>
      <c r="I1" s="161" t="s">
        <v>53</v>
      </c>
      <c r="J1" s="160" t="s">
        <v>54</v>
      </c>
      <c r="K1" s="159" t="s">
        <v>47</v>
      </c>
      <c r="L1" s="160"/>
      <c r="N1" s="163" t="s">
        <v>55</v>
      </c>
      <c r="O1" s="164"/>
    </row>
    <row r="2" spans="1:15" x14ac:dyDescent="0.4">
      <c r="A2" s="165">
        <v>-12</v>
      </c>
      <c r="B2" s="166">
        <f t="shared" ref="B2:B25" si="0">A2-0.1</f>
        <v>-12.1</v>
      </c>
      <c r="C2" s="166">
        <f t="shared" ref="C2:C25" si="1">611.14*EXP(17.269*(((273.16+A2)-273.16)/((273.16+A2)-35.86)))</f>
        <v>243.60282064275151</v>
      </c>
      <c r="D2" s="166">
        <f t="shared" ref="D2:D25" si="2">$N$2-C2</f>
        <v>101081.39717935724</v>
      </c>
      <c r="E2" s="166">
        <f t="shared" ref="E2:E25" si="3">I2*1000</f>
        <v>1.4958415194389014</v>
      </c>
      <c r="F2" s="160"/>
      <c r="G2" s="165">
        <v>-12</v>
      </c>
      <c r="H2" s="166">
        <f t="shared" ref="H2:H25" si="4">(((1.005+(1.88*(E2/1000)))*A2)+(2487*(E2/1000)))</f>
        <v>-8.3735883258339925</v>
      </c>
      <c r="I2" s="167">
        <f t="shared" ref="I2:I25" si="5">(18/29)*(C2/($N$2-C2))</f>
        <v>1.4958415194389013E-3</v>
      </c>
      <c r="J2" s="168">
        <f t="shared" ref="J2:J25" si="6">((22.41/273)*(A2+273))*((1/28.96)+((1/18.1)*I2))</f>
        <v>0.74158226418262674</v>
      </c>
      <c r="K2" s="165">
        <v>-12</v>
      </c>
      <c r="L2" s="169"/>
      <c r="M2" s="170"/>
      <c r="N2" s="163">
        <v>101325</v>
      </c>
      <c r="O2" s="162"/>
    </row>
    <row r="3" spans="1:15" x14ac:dyDescent="0.4">
      <c r="A3" s="165">
        <v>-11.5</v>
      </c>
      <c r="B3" s="166">
        <f t="shared" si="0"/>
        <v>-11.6</v>
      </c>
      <c r="C3" s="166">
        <f t="shared" si="1"/>
        <v>253.61450989971166</v>
      </c>
      <c r="D3" s="166">
        <f t="shared" si="2"/>
        <v>101071.38549010029</v>
      </c>
      <c r="E3" s="166">
        <f t="shared" si="3"/>
        <v>1.5574724926650112</v>
      </c>
      <c r="F3" s="160"/>
      <c r="G3" s="165">
        <v>-11.5</v>
      </c>
      <c r="H3" s="166">
        <f t="shared" si="4"/>
        <v>-7.7177384660335342</v>
      </c>
      <c r="I3" s="167">
        <f t="shared" si="5"/>
        <v>1.5574724926650113E-3</v>
      </c>
      <c r="J3" s="168">
        <f t="shared" si="6"/>
        <v>0.74307601211495022</v>
      </c>
      <c r="K3" s="165">
        <v>-11.5</v>
      </c>
      <c r="L3" s="169"/>
      <c r="M3" s="170"/>
    </row>
    <row r="4" spans="1:15" x14ac:dyDescent="0.4">
      <c r="A4" s="165">
        <v>-11</v>
      </c>
      <c r="B4" s="166">
        <f t="shared" si="0"/>
        <v>-11.1</v>
      </c>
      <c r="C4" s="166">
        <f t="shared" si="1"/>
        <v>263.99067509596534</v>
      </c>
      <c r="D4" s="166">
        <f t="shared" si="2"/>
        <v>101061.00932490404</v>
      </c>
      <c r="E4" s="166">
        <f t="shared" si="3"/>
        <v>1.6213600298336726</v>
      </c>
      <c r="F4" s="160"/>
      <c r="G4" s="165">
        <v>-11</v>
      </c>
      <c r="H4" s="166">
        <f t="shared" si="4"/>
        <v>-7.0562073312206159</v>
      </c>
      <c r="I4" s="167">
        <f t="shared" si="5"/>
        <v>1.6213600298336725E-3</v>
      </c>
      <c r="J4" s="168">
        <f t="shared" si="6"/>
        <v>0.74457272088445681</v>
      </c>
      <c r="K4" s="165">
        <v>-11</v>
      </c>
      <c r="L4" s="169"/>
      <c r="M4" s="170"/>
      <c r="N4" s="171"/>
      <c r="O4" s="171"/>
    </row>
    <row r="5" spans="1:15" x14ac:dyDescent="0.4">
      <c r="A5" s="165">
        <v>-10.5</v>
      </c>
      <c r="B5" s="166">
        <f t="shared" si="0"/>
        <v>-10.6</v>
      </c>
      <c r="C5" s="166">
        <f t="shared" si="1"/>
        <v>274.74278281612698</v>
      </c>
      <c r="D5" s="166">
        <f t="shared" si="2"/>
        <v>101050.25721718387</v>
      </c>
      <c r="E5" s="166">
        <f t="shared" si="3"/>
        <v>1.6875761410556029</v>
      </c>
      <c r="F5" s="160"/>
      <c r="G5" s="165">
        <v>-10.5</v>
      </c>
      <c r="H5" s="166">
        <f t="shared" si="4"/>
        <v>-6.3888108902191538</v>
      </c>
      <c r="I5" s="167">
        <f t="shared" si="5"/>
        <v>1.6875761410556028E-3</v>
      </c>
      <c r="J5" s="168">
        <f t="shared" si="6"/>
        <v>0.7460724915703919</v>
      </c>
      <c r="K5" s="165">
        <v>-10.5</v>
      </c>
      <c r="L5" s="169"/>
      <c r="M5" s="170"/>
    </row>
    <row r="6" spans="1:15" x14ac:dyDescent="0.4">
      <c r="A6" s="165">
        <v>-10</v>
      </c>
      <c r="B6" s="166">
        <f t="shared" si="0"/>
        <v>-10.1</v>
      </c>
      <c r="C6" s="166">
        <f t="shared" si="1"/>
        <v>285.88259938206164</v>
      </c>
      <c r="D6" s="166">
        <f t="shared" si="2"/>
        <v>101039.11740061794</v>
      </c>
      <c r="E6" s="166">
        <f t="shared" si="3"/>
        <v>1.7561947946029854</v>
      </c>
      <c r="F6" s="160"/>
      <c r="G6" s="165">
        <v>-10</v>
      </c>
      <c r="H6" s="166">
        <f t="shared" si="4"/>
        <v>-5.7153600079609097</v>
      </c>
      <c r="I6" s="167">
        <f t="shared" si="5"/>
        <v>1.7561947946029854E-3</v>
      </c>
      <c r="J6" s="168">
        <f t="shared" si="6"/>
        <v>0.74757542824080203</v>
      </c>
      <c r="K6" s="165">
        <v>-10</v>
      </c>
      <c r="L6" s="169"/>
      <c r="M6" s="170"/>
    </row>
    <row r="7" spans="1:15" x14ac:dyDescent="0.4">
      <c r="A7" s="165">
        <v>-9.5</v>
      </c>
      <c r="B7" s="166">
        <f t="shared" si="0"/>
        <v>-9.6</v>
      </c>
      <c r="C7" s="166">
        <f t="shared" si="1"/>
        <v>297.42219690583988</v>
      </c>
      <c r="D7" s="166">
        <f t="shared" si="2"/>
        <v>101027.57780309416</v>
      </c>
      <c r="E7" s="166">
        <f t="shared" si="3"/>
        <v>1.8272919617840584</v>
      </c>
      <c r="F7" s="160"/>
      <c r="G7" s="165">
        <v>-9.5</v>
      </c>
      <c r="H7" s="166">
        <f t="shared" si="4"/>
        <v>-5.0356603254805092</v>
      </c>
      <c r="I7" s="167">
        <f t="shared" si="5"/>
        <v>1.8272919617840584E-3</v>
      </c>
      <c r="J7" s="168">
        <f t="shared" si="6"/>
        <v>0.74908163802836369</v>
      </c>
      <c r="K7" s="165">
        <v>-9.5</v>
      </c>
      <c r="L7" s="169"/>
      <c r="M7" s="170"/>
    </row>
    <row r="8" spans="1:15" x14ac:dyDescent="0.4">
      <c r="A8" s="165">
        <v>-9</v>
      </c>
      <c r="B8" s="166">
        <f t="shared" si="0"/>
        <v>-9.1</v>
      </c>
      <c r="C8" s="166">
        <f t="shared" si="1"/>
        <v>309.37395942133213</v>
      </c>
      <c r="D8" s="166">
        <f t="shared" si="2"/>
        <v>101015.62604057867</v>
      </c>
      <c r="E8" s="166">
        <f t="shared" si="3"/>
        <v>1.9009456627572958</v>
      </c>
      <c r="F8" s="160"/>
      <c r="G8" s="165">
        <v>-9</v>
      </c>
      <c r="H8" s="166">
        <f t="shared" si="4"/>
        <v>-4.3495121373364567</v>
      </c>
      <c r="I8" s="167">
        <f t="shared" si="5"/>
        <v>1.9009456627572959E-3</v>
      </c>
      <c r="J8" s="168">
        <f t="shared" si="6"/>
        <v>0.75059123120794768</v>
      </c>
      <c r="K8" s="165">
        <v>-9</v>
      </c>
      <c r="L8" s="169"/>
      <c r="M8" s="170"/>
    </row>
    <row r="9" spans="1:15" x14ac:dyDescent="0.4">
      <c r="A9" s="165">
        <v>-8.5</v>
      </c>
      <c r="B9" s="166">
        <f t="shared" si="0"/>
        <v>-8.6</v>
      </c>
      <c r="C9" s="166">
        <f t="shared" si="1"/>
        <v>321.75058909459989</v>
      </c>
      <c r="D9" s="166">
        <f t="shared" si="2"/>
        <v>101003.2494109054</v>
      </c>
      <c r="E9" s="166">
        <f t="shared" si="3"/>
        <v>1.977236013310733</v>
      </c>
      <c r="F9" s="160"/>
      <c r="G9" s="165">
        <v>-8.5</v>
      </c>
      <c r="H9" s="166">
        <f t="shared" si="4"/>
        <v>-3.6567102663889122</v>
      </c>
      <c r="I9" s="167">
        <f t="shared" si="5"/>
        <v>1.977236013310733E-3</v>
      </c>
      <c r="J9" s="168">
        <f t="shared" si="6"/>
        <v>0.75210432127596361</v>
      </c>
      <c r="K9" s="165">
        <v>-8.5</v>
      </c>
      <c r="L9" s="169"/>
      <c r="M9" s="170"/>
    </row>
    <row r="10" spans="1:15" x14ac:dyDescent="0.4">
      <c r="A10" s="165">
        <v>-8</v>
      </c>
      <c r="B10" s="166">
        <f t="shared" si="0"/>
        <v>-8.1</v>
      </c>
      <c r="C10" s="166">
        <f t="shared" si="1"/>
        <v>334.56511251322553</v>
      </c>
      <c r="D10" s="166">
        <f t="shared" si="2"/>
        <v>100990.43488748677</v>
      </c>
      <c r="E10" s="166">
        <f t="shared" si="3"/>
        <v>2.0562452726330824</v>
      </c>
      <c r="F10" s="160"/>
      <c r="G10" s="165">
        <v>-8</v>
      </c>
      <c r="H10" s="166">
        <f t="shared" si="4"/>
        <v>-2.9570439358619254</v>
      </c>
      <c r="I10" s="167">
        <f t="shared" si="5"/>
        <v>2.0562452726330823E-3</v>
      </c>
      <c r="J10" s="168">
        <f t="shared" si="6"/>
        <v>0.75362102503153483</v>
      </c>
      <c r="K10" s="165">
        <v>-8</v>
      </c>
      <c r="L10" s="169"/>
      <c r="M10" s="170"/>
    </row>
    <row r="11" spans="1:15" x14ac:dyDescent="0.4">
      <c r="A11" s="165">
        <v>-7.5</v>
      </c>
      <c r="B11" s="166">
        <f t="shared" si="0"/>
        <v>-7.6</v>
      </c>
      <c r="C11" s="166">
        <f t="shared" si="1"/>
        <v>347.83088705470703</v>
      </c>
      <c r="D11" s="166">
        <f t="shared" si="2"/>
        <v>100977.1691129453</v>
      </c>
      <c r="E11" s="166">
        <f t="shared" si="3"/>
        <v>2.1380578921044751</v>
      </c>
      <c r="F11" s="160"/>
      <c r="G11" s="165">
        <v>-7.5</v>
      </c>
      <c r="H11" s="166">
        <f t="shared" si="4"/>
        <v>-2.2502966386148433</v>
      </c>
      <c r="I11" s="167">
        <f t="shared" si="5"/>
        <v>2.138057892104475E-3</v>
      </c>
      <c r="J11" s="168">
        <f t="shared" si="6"/>
        <v>0.75514146265954873</v>
      </c>
      <c r="K11" s="165">
        <v>-7.5</v>
      </c>
      <c r="L11" s="169"/>
      <c r="M11" s="170"/>
    </row>
    <row r="12" spans="1:15" x14ac:dyDescent="0.4">
      <c r="A12" s="165">
        <v>-7</v>
      </c>
      <c r="B12" s="166">
        <f t="shared" si="0"/>
        <v>-7.1</v>
      </c>
      <c r="C12" s="166">
        <f t="shared" si="1"/>
        <v>361.56160733403073</v>
      </c>
      <c r="D12" s="166">
        <f t="shared" si="2"/>
        <v>100963.43839266596</v>
      </c>
      <c r="E12" s="166">
        <f t="shared" si="3"/>
        <v>2.2227605651358742</v>
      </c>
      <c r="F12" s="160"/>
      <c r="G12" s="165">
        <v>-7</v>
      </c>
      <c r="H12" s="166">
        <f t="shared" si="4"/>
        <v>-1.5362460035442691</v>
      </c>
      <c r="I12" s="167">
        <f t="shared" si="5"/>
        <v>2.2227605651358741E-3</v>
      </c>
      <c r="J12" s="168">
        <f t="shared" si="6"/>
        <v>0.75666575781563739</v>
      </c>
      <c r="K12" s="165">
        <v>-7</v>
      </c>
      <c r="L12" s="169"/>
      <c r="M12" s="170"/>
    </row>
    <row r="13" spans="1:15" x14ac:dyDescent="0.4">
      <c r="A13" s="165">
        <v>-6.5</v>
      </c>
      <c r="B13" s="166">
        <f t="shared" si="0"/>
        <v>-6.6</v>
      </c>
      <c r="C13" s="166">
        <f t="shared" si="1"/>
        <v>375.77131173051839</v>
      </c>
      <c r="D13" s="166">
        <f t="shared" si="2"/>
        <v>100949.22868826948</v>
      </c>
      <c r="E13" s="166">
        <f t="shared" si="3"/>
        <v>2.3104422780874976</v>
      </c>
      <c r="F13" s="160"/>
      <c r="G13" s="165">
        <v>-6.5</v>
      </c>
      <c r="H13" s="166">
        <f t="shared" si="4"/>
        <v>-0.8146636590346219</v>
      </c>
      <c r="I13" s="167">
        <f t="shared" si="5"/>
        <v>2.3104422780874977E-3</v>
      </c>
      <c r="J13" s="168">
        <f t="shared" si="6"/>
        <v>0.75819403771314087</v>
      </c>
      <c r="K13" s="165">
        <v>-6.5</v>
      </c>
      <c r="L13" s="169"/>
      <c r="M13" s="170"/>
    </row>
    <row r="14" spans="1:15" x14ac:dyDescent="0.4">
      <c r="A14" s="165">
        <v>-6</v>
      </c>
      <c r="B14" s="166">
        <f t="shared" si="0"/>
        <v>-6.1</v>
      </c>
      <c r="C14" s="166">
        <f t="shared" si="1"/>
        <v>390.47438899403193</v>
      </c>
      <c r="D14" s="166">
        <f t="shared" si="2"/>
        <v>100934.52561100597</v>
      </c>
      <c r="E14" s="166">
        <f t="shared" si="3"/>
        <v>2.4011943622979408</v>
      </c>
      <c r="F14" s="160"/>
      <c r="G14" s="165">
        <v>-6</v>
      </c>
      <c r="H14" s="166">
        <f t="shared" si="4"/>
        <v>-8.5315093371741924E-2</v>
      </c>
      <c r="I14" s="167">
        <f t="shared" si="5"/>
        <v>2.4011943622979409E-3</v>
      </c>
      <c r="J14" s="168">
        <f t="shared" si="6"/>
        <v>0.75972643321210598</v>
      </c>
      <c r="K14" s="165">
        <v>-6</v>
      </c>
      <c r="L14" s="169"/>
      <c r="M14" s="170"/>
    </row>
    <row r="15" spans="1:15" x14ac:dyDescent="0.4">
      <c r="A15" s="165">
        <v>-5.5</v>
      </c>
      <c r="B15" s="166">
        <f t="shared" si="0"/>
        <v>-5.6</v>
      </c>
      <c r="C15" s="166">
        <f t="shared" si="1"/>
        <v>405.68558493060061</v>
      </c>
      <c r="D15" s="166">
        <f t="shared" si="2"/>
        <v>100919.3144150694</v>
      </c>
      <c r="E15" s="166">
        <f t="shared" si="3"/>
        <v>2.4951105472570836</v>
      </c>
      <c r="F15" s="160"/>
      <c r="G15" s="165">
        <v>-5.5</v>
      </c>
      <c r="H15" s="166">
        <f t="shared" si="4"/>
        <v>0.65204048796972991</v>
      </c>
      <c r="I15" s="167">
        <f t="shared" si="5"/>
        <v>2.4951105472570834E-3</v>
      </c>
      <c r="J15" s="168">
        <f t="shared" si="6"/>
        <v>0.76126307891038358</v>
      </c>
      <c r="K15" s="165">
        <v>-5.5</v>
      </c>
      <c r="L15" s="169"/>
      <c r="M15" s="170"/>
    </row>
    <row r="16" spans="1:15" x14ac:dyDescent="0.4">
      <c r="A16" s="165">
        <v>-5</v>
      </c>
      <c r="B16" s="166">
        <f t="shared" si="0"/>
        <v>-5.0999999999999996</v>
      </c>
      <c r="C16" s="166">
        <f t="shared" si="1"/>
        <v>421.42000916752465</v>
      </c>
      <c r="D16" s="166">
        <f t="shared" si="2"/>
        <v>100903.57999083247</v>
      </c>
      <c r="E16" s="166">
        <f t="shared" si="3"/>
        <v>2.59228701495736</v>
      </c>
      <c r="F16" s="160"/>
      <c r="G16" s="165">
        <v>-5</v>
      </c>
      <c r="H16" s="166">
        <f t="shared" si="4"/>
        <v>1.3976503082583553</v>
      </c>
      <c r="I16" s="167">
        <f t="shared" si="5"/>
        <v>2.59228701495736E-3</v>
      </c>
      <c r="J16" s="168">
        <f t="shared" si="6"/>
        <v>0.76280411323687936</v>
      </c>
      <c r="K16" s="165">
        <v>-5</v>
      </c>
      <c r="L16" s="169"/>
      <c r="M16" s="170"/>
    </row>
    <row r="17" spans="1:13" x14ac:dyDescent="0.4">
      <c r="A17" s="165">
        <v>-4.5</v>
      </c>
      <c r="B17" s="166">
        <f t="shared" si="0"/>
        <v>-4.5999999999999996</v>
      </c>
      <c r="C17" s="166">
        <f t="shared" si="1"/>
        <v>437.69314199799021</v>
      </c>
      <c r="D17" s="166">
        <f t="shared" si="2"/>
        <v>100887.306858002</v>
      </c>
      <c r="E17" s="166">
        <f t="shared" si="3"/>
        <v>2.6928224554595186</v>
      </c>
      <c r="F17" s="160"/>
      <c r="G17" s="165">
        <v>-4.5</v>
      </c>
      <c r="H17" s="166">
        <f t="shared" si="4"/>
        <v>2.1517681687546366</v>
      </c>
      <c r="I17" s="167">
        <f t="shared" si="5"/>
        <v>2.6928224554595187E-3</v>
      </c>
      <c r="J17" s="168">
        <f t="shared" si="6"/>
        <v>0.76434967854702385</v>
      </c>
      <c r="K17" s="165">
        <v>-4.5</v>
      </c>
      <c r="L17" s="169"/>
      <c r="M17" s="170"/>
    </row>
    <row r="18" spans="1:13" x14ac:dyDescent="0.4">
      <c r="A18" s="165">
        <v>-4</v>
      </c>
      <c r="B18" s="166">
        <f t="shared" si="0"/>
        <v>-4.0999999999999996</v>
      </c>
      <c r="C18" s="166">
        <f t="shared" si="1"/>
        <v>454.5208413052174</v>
      </c>
      <c r="D18" s="166">
        <f t="shared" si="2"/>
        <v>100870.47915869478</v>
      </c>
      <c r="E18" s="166">
        <f t="shared" si="3"/>
        <v>2.7968181237106089</v>
      </c>
      <c r="F18" s="160"/>
      <c r="G18" s="165">
        <v>-4</v>
      </c>
      <c r="H18" s="166">
        <f t="shared" si="4"/>
        <v>2.9146546013779817</v>
      </c>
      <c r="I18" s="167">
        <f t="shared" si="5"/>
        <v>2.796818123710609E-3</v>
      </c>
      <c r="J18" s="168">
        <f t="shared" si="6"/>
        <v>0.76589992122052575</v>
      </c>
      <c r="K18" s="165">
        <v>-4</v>
      </c>
      <c r="L18" s="169"/>
      <c r="M18" s="170"/>
    </row>
    <row r="19" spans="1:13" x14ac:dyDescent="0.4">
      <c r="A19" s="165">
        <v>-3.5</v>
      </c>
      <c r="B19" s="166">
        <f t="shared" si="0"/>
        <v>-3.6</v>
      </c>
      <c r="C19" s="166">
        <f t="shared" si="1"/>
        <v>471.91934956614637</v>
      </c>
      <c r="D19" s="166">
        <f t="shared" si="2"/>
        <v>100853.08065043385</v>
      </c>
      <c r="E19" s="166">
        <f t="shared" si="3"/>
        <v>2.9043778976536516</v>
      </c>
      <c r="F19" s="160"/>
      <c r="G19" s="165">
        <v>-3.5</v>
      </c>
      <c r="H19" s="166">
        <f t="shared" si="4"/>
        <v>3.6865770248980709</v>
      </c>
      <c r="I19" s="167">
        <f t="shared" si="5"/>
        <v>2.9043778976536516E-3</v>
      </c>
      <c r="J19" s="168">
        <f t="shared" si="6"/>
        <v>0.7674549917614778</v>
      </c>
      <c r="K19" s="165">
        <v>-3.5</v>
      </c>
      <c r="L19" s="169"/>
      <c r="M19" s="170"/>
    </row>
    <row r="20" spans="1:13" x14ac:dyDescent="0.4">
      <c r="A20" s="165">
        <v>-3</v>
      </c>
      <c r="B20" s="166">
        <f t="shared" si="0"/>
        <v>-3.1</v>
      </c>
      <c r="C20" s="166">
        <f t="shared" si="1"/>
        <v>489.9053009346523</v>
      </c>
      <c r="D20" s="166">
        <f t="shared" si="2"/>
        <v>100835.09469906535</v>
      </c>
      <c r="E20" s="166">
        <f t="shared" si="3"/>
        <v>3.015608337670213</v>
      </c>
      <c r="F20" s="160"/>
      <c r="G20" s="165">
        <v>-3</v>
      </c>
      <c r="H20" s="166">
        <f t="shared" si="4"/>
        <v>4.46780990476136</v>
      </c>
      <c r="I20" s="167">
        <f t="shared" si="5"/>
        <v>3.0156083376702129E-3</v>
      </c>
      <c r="J20" s="168">
        <f t="shared" si="6"/>
        <v>0.76901504490088468</v>
      </c>
      <c r="K20" s="165">
        <v>-3</v>
      </c>
      <c r="L20" s="169"/>
      <c r="M20" s="170"/>
    </row>
    <row r="21" spans="1:13" x14ac:dyDescent="0.4">
      <c r="A21" s="165">
        <v>-2.5</v>
      </c>
      <c r="B21" s="166">
        <f t="shared" si="0"/>
        <v>-2.6</v>
      </c>
      <c r="C21" s="166">
        <f t="shared" si="1"/>
        <v>508.49572840426305</v>
      </c>
      <c r="D21" s="166">
        <f t="shared" si="2"/>
        <v>100816.50427159574</v>
      </c>
      <c r="E21" s="166">
        <f t="shared" si="3"/>
        <v>3.1306187473989842</v>
      </c>
      <c r="F21" s="160"/>
      <c r="G21" s="165">
        <v>-2.5</v>
      </c>
      <c r="H21" s="166">
        <f t="shared" si="4"/>
        <v>5.2586349166684991</v>
      </c>
      <c r="I21" s="167">
        <f t="shared" si="5"/>
        <v>3.1306187473989842E-3</v>
      </c>
      <c r="J21" s="168">
        <f t="shared" si="6"/>
        <v>0.77058023970168832</v>
      </c>
      <c r="K21" s="165">
        <v>-2.5</v>
      </c>
      <c r="L21" s="169"/>
      <c r="M21" s="170"/>
    </row>
    <row r="22" spans="1:13" x14ac:dyDescent="0.4">
      <c r="A22" s="165">
        <v>-2</v>
      </c>
      <c r="B22" s="166">
        <f t="shared" si="0"/>
        <v>-2.1</v>
      </c>
      <c r="C22" s="166">
        <f t="shared" si="1"/>
        <v>527.70807105033896</v>
      </c>
      <c r="D22" s="166">
        <f t="shared" si="2"/>
        <v>100797.29192894966</v>
      </c>
      <c r="E22" s="166">
        <f t="shared" si="3"/>
        <v>3.2495212359754082</v>
      </c>
      <c r="F22" s="160"/>
      <c r="G22" s="165">
        <v>-2</v>
      </c>
      <c r="H22" s="166">
        <f t="shared" si="4"/>
        <v>6.0593411140235718</v>
      </c>
      <c r="I22" s="167">
        <f t="shared" si="5"/>
        <v>3.2495212359754081E-3</v>
      </c>
      <c r="J22" s="168">
        <f t="shared" si="6"/>
        <v>0.77215073966636627</v>
      </c>
      <c r="K22" s="165">
        <v>-2</v>
      </c>
      <c r="L22" s="169"/>
      <c r="M22" s="170"/>
    </row>
    <row r="23" spans="1:13" x14ac:dyDescent="0.4">
      <c r="A23" s="165">
        <v>-1.5</v>
      </c>
      <c r="B23" s="166">
        <f t="shared" si="0"/>
        <v>-1.6</v>
      </c>
      <c r="C23" s="166">
        <f t="shared" si="1"/>
        <v>547.56018135165777</v>
      </c>
      <c r="D23" s="166">
        <f t="shared" si="2"/>
        <v>100777.43981864834</v>
      </c>
      <c r="E23" s="166">
        <f t="shared" si="3"/>
        <v>3.3724307817394523</v>
      </c>
      <c r="F23" s="160"/>
      <c r="G23" s="165">
        <v>-1.5</v>
      </c>
      <c r="H23" s="166">
        <f t="shared" si="4"/>
        <v>6.8702250993815124</v>
      </c>
      <c r="I23" s="167">
        <f t="shared" si="5"/>
        <v>3.3724307817394523E-3</v>
      </c>
      <c r="J23" s="168">
        <f t="shared" si="6"/>
        <v>0.77372671284718575</v>
      </c>
      <c r="K23" s="165">
        <v>-1.5</v>
      </c>
      <c r="L23" s="169"/>
      <c r="M23" s="170"/>
    </row>
    <row r="24" spans="1:13" x14ac:dyDescent="0.4">
      <c r="A24" s="165">
        <v>-1</v>
      </c>
      <c r="B24" s="166">
        <f t="shared" si="0"/>
        <v>-1.1000000000000001</v>
      </c>
      <c r="C24" s="166">
        <f t="shared" si="1"/>
        <v>568.07033259133289</v>
      </c>
      <c r="D24" s="166">
        <f t="shared" si="2"/>
        <v>100756.92966740867</v>
      </c>
      <c r="E24" s="166">
        <f t="shared" si="3"/>
        <v>3.4994652974607772</v>
      </c>
      <c r="F24" s="160"/>
      <c r="G24" s="165">
        <v>-1</v>
      </c>
      <c r="H24" s="166">
        <f t="shared" si="4"/>
        <v>7.6915912000257265</v>
      </c>
      <c r="I24" s="167">
        <f t="shared" si="5"/>
        <v>3.4994652974607771E-3</v>
      </c>
      <c r="J24" s="168">
        <f t="shared" si="6"/>
        <v>0.77530833195919668</v>
      </c>
      <c r="K24" s="165">
        <v>-1</v>
      </c>
      <c r="L24" s="169"/>
      <c r="M24" s="170"/>
    </row>
    <row r="25" spans="1:13" x14ac:dyDescent="0.4">
      <c r="A25" s="165">
        <v>-0.5</v>
      </c>
      <c r="B25" s="166">
        <f t="shared" si="0"/>
        <v>-0.6</v>
      </c>
      <c r="C25" s="166">
        <f t="shared" si="1"/>
        <v>589.25722633697569</v>
      </c>
      <c r="D25" s="166">
        <f t="shared" si="2"/>
        <v>100735.74277366302</v>
      </c>
      <c r="E25" s="166">
        <f t="shared" si="3"/>
        <v>3.630745697132769</v>
      </c>
      <c r="F25" s="160"/>
      <c r="G25" s="165">
        <v>-0.5</v>
      </c>
      <c r="H25" s="166">
        <f t="shared" si="4"/>
        <v>8.5237516478138904</v>
      </c>
      <c r="I25" s="167">
        <f t="shared" si="5"/>
        <v>3.6307456971327689E-3</v>
      </c>
      <c r="J25" s="168">
        <f t="shared" si="6"/>
        <v>0.77689577449604841</v>
      </c>
      <c r="K25" s="165">
        <v>-0.5</v>
      </c>
      <c r="L25" s="169"/>
      <c r="M25" s="170"/>
    </row>
    <row r="26" spans="1:13" x14ac:dyDescent="0.4">
      <c r="A26" s="165">
        <v>0</v>
      </c>
      <c r="B26" s="166">
        <f t="shared" ref="B26:B89" si="7">A26-0.1</f>
        <v>-0.1</v>
      </c>
      <c r="C26" s="166">
        <f>611.14*EXP(17.269*(((273.16+A26)-273.16)/((273.16+A26)-35.86)))</f>
        <v>611.14</v>
      </c>
      <c r="D26" s="166">
        <f t="shared" ref="D26:D89" si="8">$N$2-C26</f>
        <v>100713.86</v>
      </c>
      <c r="E26" s="166">
        <f>I26*1000</f>
        <v>3.7663959643892997</v>
      </c>
      <c r="G26" s="165">
        <v>0</v>
      </c>
      <c r="H26" s="166">
        <f t="shared" ref="H26:H89" si="9">(((1.005+(1.88*(E26/1000)))*A26)+(2487*(E26/1000)))</f>
        <v>9.3670267634361881</v>
      </c>
      <c r="I26" s="167">
        <f>(18/29)*(C26/($N$2-C26))</f>
        <v>3.7663959643892998E-3</v>
      </c>
      <c r="J26" s="168">
        <f t="shared" ref="J26:J89" si="10">((22.41/273)*(A26+273))*((1/28.96)+((1/18.1)*I26))</f>
        <v>0.77848922284872735</v>
      </c>
      <c r="K26" s="165">
        <v>0</v>
      </c>
      <c r="L26" s="169"/>
      <c r="M26" s="170"/>
    </row>
    <row r="27" spans="1:13" x14ac:dyDescent="0.4">
      <c r="A27" s="165">
        <v>0.5</v>
      </c>
      <c r="B27" s="166">
        <f t="shared" si="7"/>
        <v>0.4</v>
      </c>
      <c r="C27" s="166">
        <f>611.14*EXP(17.269*(((273.16+A27)-273.16)/((273.16+A27)-35.86)))</f>
        <v>633.73823447394739</v>
      </c>
      <c r="D27" s="166">
        <f t="shared" si="8"/>
        <v>100691.26176552605</v>
      </c>
      <c r="E27" s="166">
        <f t="shared" ref="E27:E89" si="11">I27*1000</f>
        <v>3.9065432226005008</v>
      </c>
      <c r="G27" s="165">
        <v>0.5</v>
      </c>
      <c r="H27" s="166">
        <f>(((1.005+(1.88*(E27/1000)))*A27)+(2487*(E27/1000)))</f>
        <v>10.221745145236689</v>
      </c>
      <c r="I27" s="167">
        <f>(18/29)*(C27/($N$2-C27))</f>
        <v>3.9065432226005007E-3</v>
      </c>
      <c r="J27" s="168">
        <f>((22.41/273)*(A27+273))*((1/28.96)+((1/18.1)*I27))</f>
        <v>0.7800888644273074</v>
      </c>
      <c r="K27" s="165">
        <v>0.5</v>
      </c>
      <c r="L27" s="169"/>
      <c r="M27" s="170"/>
    </row>
    <row r="28" spans="1:13" x14ac:dyDescent="0.4">
      <c r="A28" s="165">
        <v>1</v>
      </c>
      <c r="B28" s="166">
        <f t="shared" si="7"/>
        <v>0.9</v>
      </c>
      <c r="C28" s="166">
        <f t="shared" ref="C28:C91" si="12">611.14*EXP(17.269*(((273.16+A28)-273.16)/((273.16+A28)-35.86)))</f>
        <v>657.07196185169926</v>
      </c>
      <c r="D28" s="166">
        <f t="shared" si="8"/>
        <v>100667.9280381483</v>
      </c>
      <c r="E28" s="166">
        <f t="shared" si="11"/>
        <v>4.0513178067064404</v>
      </c>
      <c r="G28" s="165">
        <v>1</v>
      </c>
      <c r="H28" s="166">
        <f t="shared" si="9"/>
        <v>11.088243862755522</v>
      </c>
      <c r="I28" s="167">
        <f t="shared" ref="I28:I91" si="13">(18/29)*(C28/($N$2-C28))</f>
        <v>4.05131780670644E-3</v>
      </c>
      <c r="J28" s="168">
        <f t="shared" si="10"/>
        <v>0.78169489178581186</v>
      </c>
      <c r="K28" s="165">
        <v>1</v>
      </c>
      <c r="L28" s="169"/>
      <c r="M28" s="170"/>
    </row>
    <row r="29" spans="1:13" x14ac:dyDescent="0.4">
      <c r="A29" s="165">
        <v>1.5</v>
      </c>
      <c r="B29" s="166">
        <f t="shared" si="7"/>
        <v>1.4</v>
      </c>
      <c r="C29" s="166">
        <f t="shared" si="12"/>
        <v>681.16167322142337</v>
      </c>
      <c r="D29" s="166">
        <f t="shared" si="8"/>
        <v>100643.83832677858</v>
      </c>
      <c r="E29" s="166">
        <f t="shared" si="11"/>
        <v>4.2008533368502974</v>
      </c>
      <c r="G29" s="165">
        <v>1.5</v>
      </c>
      <c r="H29" s="166">
        <f t="shared" si="9"/>
        <v>11.966868655156608</v>
      </c>
      <c r="I29" s="167">
        <f t="shared" si="13"/>
        <v>4.2008533368502977E-3</v>
      </c>
      <c r="J29" s="168">
        <f t="shared" si="10"/>
        <v>0.78330750275029559</v>
      </c>
      <c r="K29" s="165">
        <v>1.5</v>
      </c>
      <c r="L29" s="169"/>
      <c r="M29" s="170"/>
    </row>
    <row r="30" spans="1:13" x14ac:dyDescent="0.4">
      <c r="A30" s="165">
        <v>2</v>
      </c>
      <c r="B30" s="166">
        <f t="shared" si="7"/>
        <v>1.9</v>
      </c>
      <c r="C30" s="166">
        <f t="shared" si="12"/>
        <v>706.02832654109068</v>
      </c>
      <c r="D30" s="166">
        <f t="shared" si="8"/>
        <v>100618.97167345892</v>
      </c>
      <c r="E30" s="166">
        <f t="shared" si="11"/>
        <v>4.3552867938754742</v>
      </c>
      <c r="G30" s="165">
        <v>2</v>
      </c>
      <c r="H30" s="166">
        <f t="shared" si="9"/>
        <v>12.857974134713276</v>
      </c>
      <c r="I30" s="167">
        <f t="shared" si="13"/>
        <v>4.3552867938754739E-3</v>
      </c>
      <c r="J30" s="168">
        <f t="shared" si="10"/>
        <v>0.78492690055025127</v>
      </c>
      <c r="K30" s="165">
        <v>2</v>
      </c>
      <c r="L30" s="169"/>
      <c r="M30" s="170"/>
    </row>
    <row r="31" spans="1:13" x14ac:dyDescent="0.4">
      <c r="A31" s="165">
        <v>2.5</v>
      </c>
      <c r="B31" s="166">
        <f t="shared" si="7"/>
        <v>2.4</v>
      </c>
      <c r="C31" s="166">
        <f t="shared" si="12"/>
        <v>731.69335459137551</v>
      </c>
      <c r="D31" s="166">
        <f t="shared" si="8"/>
        <v>100593.30664540862</v>
      </c>
      <c r="E31" s="166">
        <f t="shared" si="11"/>
        <v>4.5147585967539774</v>
      </c>
      <c r="G31" s="165">
        <v>2.5</v>
      </c>
      <c r="H31" s="166">
        <f t="shared" si="9"/>
        <v>13.761923995531887</v>
      </c>
      <c r="I31" s="167">
        <f t="shared" si="13"/>
        <v>4.5147585967539776E-3</v>
      </c>
      <c r="J31" s="168">
        <f t="shared" si="10"/>
        <v>0.78655329395345819</v>
      </c>
      <c r="K31" s="165">
        <v>2.5</v>
      </c>
      <c r="L31" s="169"/>
      <c r="M31" s="170"/>
    </row>
    <row r="32" spans="1:13" x14ac:dyDescent="0.4">
      <c r="A32" s="165">
        <v>3</v>
      </c>
      <c r="B32" s="166">
        <f t="shared" si="7"/>
        <v>2.9</v>
      </c>
      <c r="C32" s="166">
        <f>611.14*EXP(17.269*(((273.16+A32)-273.16)/((273.16+A32)-35.86)))</f>
        <v>758.1786730067455</v>
      </c>
      <c r="D32" s="166">
        <f>$N$2-C32</f>
        <v>100566.82132699326</v>
      </c>
      <c r="E32" s="166">
        <f t="shared" si="11"/>
        <v>4.6794126820166539</v>
      </c>
      <c r="G32" s="165">
        <v>3</v>
      </c>
      <c r="H32" s="166">
        <f t="shared" si="9"/>
        <v>14.679091227701992</v>
      </c>
      <c r="I32" s="167">
        <f t="shared" si="13"/>
        <v>4.6794126820166541E-3</v>
      </c>
      <c r="J32" s="168">
        <f t="shared" si="10"/>
        <v>0.78818689740438808</v>
      </c>
      <c r="K32" s="165">
        <v>3</v>
      </c>
      <c r="L32" s="169"/>
      <c r="M32" s="170"/>
    </row>
    <row r="33" spans="1:13" x14ac:dyDescent="0.4">
      <c r="A33" s="165">
        <v>3.5</v>
      </c>
      <c r="B33" s="166">
        <f t="shared" si="7"/>
        <v>3.4</v>
      </c>
      <c r="C33" s="166">
        <f t="shared" si="12"/>
        <v>785.50668838452327</v>
      </c>
      <c r="D33" s="166">
        <f t="shared" si="8"/>
        <v>100539.49331161547</v>
      </c>
      <c r="E33" s="166">
        <f t="shared" si="11"/>
        <v>4.8493965852589636</v>
      </c>
      <c r="G33" s="165">
        <v>3.5</v>
      </c>
      <c r="H33" s="166">
        <f t="shared" si="9"/>
        <v>15.609858337070046</v>
      </c>
      <c r="I33" s="167">
        <f t="shared" si="13"/>
        <v>4.8493965852589634E-3</v>
      </c>
      <c r="J33" s="168">
        <f t="shared" si="10"/>
        <v>0.78982793116629602</v>
      </c>
      <c r="K33" s="165">
        <v>3.5</v>
      </c>
      <c r="L33" s="169"/>
      <c r="M33" s="170"/>
    </row>
    <row r="34" spans="1:13" x14ac:dyDescent="0.4">
      <c r="A34" s="165">
        <v>4</v>
      </c>
      <c r="B34" s="166">
        <f t="shared" si="7"/>
        <v>3.9</v>
      </c>
      <c r="C34" s="166">
        <f t="shared" si="12"/>
        <v>813.7003064716929</v>
      </c>
      <c r="D34" s="166">
        <f t="shared" si="8"/>
        <v>100511.2996935283</v>
      </c>
      <c r="E34" s="166">
        <f t="shared" si="11"/>
        <v>5.0248615247995039</v>
      </c>
      <c r="G34" s="165">
        <v>4</v>
      </c>
      <c r="H34" s="166">
        <f t="shared" si="9"/>
        <v>16.554617570842858</v>
      </c>
      <c r="I34" s="167">
        <f t="shared" si="13"/>
        <v>5.0248615247995036E-3</v>
      </c>
      <c r="J34" s="168">
        <f t="shared" si="10"/>
        <v>0.79147662146712405</v>
      </c>
      <c r="K34" s="165">
        <v>4</v>
      </c>
      <c r="L34" s="169"/>
      <c r="M34" s="170"/>
    </row>
    <row r="35" spans="1:13" x14ac:dyDescent="0.4">
      <c r="A35" s="165">
        <v>4.5</v>
      </c>
      <c r="B35" s="166">
        <f t="shared" si="7"/>
        <v>4.4000000000000004</v>
      </c>
      <c r="C35" s="166">
        <f t="shared" si="12"/>
        <v>842.78294042920345</v>
      </c>
      <c r="D35" s="166">
        <f t="shared" si="8"/>
        <v>100482.2170595708</v>
      </c>
      <c r="E35" s="166">
        <f t="shared" si="11"/>
        <v>5.2059624875720232</v>
      </c>
      <c r="G35" s="165">
        <v>4.5</v>
      </c>
      <c r="H35" s="166">
        <f t="shared" si="9"/>
        <v>17.513771149236479</v>
      </c>
      <c r="I35" s="167">
        <f t="shared" si="13"/>
        <v>5.2059624875720233E-3</v>
      </c>
      <c r="J35" s="168">
        <f t="shared" si="10"/>
        <v>0.79313320064935366</v>
      </c>
      <c r="K35" s="165">
        <v>4.5</v>
      </c>
      <c r="L35" s="169"/>
      <c r="M35" s="170"/>
    </row>
    <row r="36" spans="1:13" x14ac:dyDescent="0.4">
      <c r="A36" s="165">
        <v>5</v>
      </c>
      <c r="B36" s="166">
        <f t="shared" si="7"/>
        <v>4.9000000000000004</v>
      </c>
      <c r="C36" s="166">
        <f t="shared" si="12"/>
        <v>872.77851917350927</v>
      </c>
      <c r="D36" s="166">
        <f t="shared" si="8"/>
        <v>100452.2214808265</v>
      </c>
      <c r="E36" s="166">
        <f t="shared" si="11"/>
        <v>5.392858317335425</v>
      </c>
      <c r="G36" s="165">
        <v>5</v>
      </c>
      <c r="H36" s="166">
        <f t="shared" si="9"/>
        <v>18.487731503396155</v>
      </c>
      <c r="I36" s="167">
        <f t="shared" si="13"/>
        <v>5.3928583173354248E-3</v>
      </c>
      <c r="J36" s="168">
        <f t="shared" si="10"/>
        <v>0.79479790732394995</v>
      </c>
      <c r="K36" s="165">
        <v>5</v>
      </c>
      <c r="L36" s="169"/>
      <c r="M36" s="170"/>
    </row>
    <row r="37" spans="1:13" x14ac:dyDescent="0.4">
      <c r="A37" s="165">
        <v>5.5</v>
      </c>
      <c r="B37" s="166">
        <f t="shared" si="7"/>
        <v>5.4</v>
      </c>
      <c r="C37" s="166">
        <f t="shared" si="12"/>
        <v>903.71149579507028</v>
      </c>
      <c r="D37" s="166">
        <f t="shared" si="8"/>
        <v>100421.28850420493</v>
      </c>
      <c r="E37" s="166">
        <f t="shared" si="11"/>
        <v>5.5857118052901793</v>
      </c>
      <c r="G37" s="165">
        <v>5.5</v>
      </c>
      <c r="H37" s="166">
        <f t="shared" si="9"/>
        <v>19.476921519823378</v>
      </c>
      <c r="I37" s="167">
        <f t="shared" si="13"/>
        <v>5.5857118052901793E-3</v>
      </c>
      <c r="J37" s="168">
        <f t="shared" si="10"/>
        <v>0.7964709865285452</v>
      </c>
      <c r="K37" s="165">
        <v>5.5</v>
      </c>
      <c r="L37" s="169"/>
      <c r="M37" s="170"/>
    </row>
    <row r="38" spans="1:13" x14ac:dyDescent="0.4">
      <c r="A38" s="165">
        <v>6</v>
      </c>
      <c r="B38" s="166">
        <f t="shared" si="7"/>
        <v>5.9</v>
      </c>
      <c r="C38" s="166">
        <f t="shared" si="12"/>
        <v>935.60685605351853</v>
      </c>
      <c r="D38" s="166">
        <f t="shared" si="8"/>
        <v>100389.39314394648</v>
      </c>
      <c r="E38" s="166">
        <f t="shared" si="11"/>
        <v>5.7846897831937172</v>
      </c>
      <c r="G38" s="165">
        <v>6</v>
      </c>
      <c r="H38" s="166">
        <f t="shared" si="9"/>
        <v>20.4817747915572</v>
      </c>
      <c r="I38" s="167">
        <f t="shared" si="13"/>
        <v>5.7846897831937173E-3</v>
      </c>
      <c r="J38" s="168">
        <f t="shared" si="10"/>
        <v>0.79815268989001742</v>
      </c>
      <c r="K38" s="165">
        <v>6</v>
      </c>
      <c r="L38" s="169"/>
      <c r="M38" s="170"/>
    </row>
    <row r="39" spans="1:13" x14ac:dyDescent="0.4">
      <c r="A39" s="165">
        <v>6.5</v>
      </c>
      <c r="B39" s="166">
        <f t="shared" si="7"/>
        <v>6.4</v>
      </c>
      <c r="C39" s="166">
        <f t="shared" si="12"/>
        <v>968.49012694918486</v>
      </c>
      <c r="D39" s="166">
        <f t="shared" si="8"/>
        <v>100356.50987305082</v>
      </c>
      <c r="E39" s="166">
        <f t="shared" si="11"/>
        <v>5.9899632190716652</v>
      </c>
      <c r="G39" s="165">
        <v>6.5</v>
      </c>
      <c r="H39" s="166">
        <f t="shared" si="9"/>
        <v>21.502735876368284</v>
      </c>
      <c r="I39" s="167">
        <f t="shared" si="13"/>
        <v>5.9899632190716654E-3</v>
      </c>
      <c r="J39" s="168">
        <f t="shared" si="10"/>
        <v>0.79984327579162606</v>
      </c>
      <c r="K39" s="165">
        <v>6.5</v>
      </c>
      <c r="L39" s="169"/>
      <c r="M39" s="170"/>
    </row>
    <row r="40" spans="1:13" x14ac:dyDescent="0.4">
      <c r="A40" s="165">
        <v>7</v>
      </c>
      <c r="B40" s="166">
        <f t="shared" si="7"/>
        <v>6.9</v>
      </c>
      <c r="C40" s="166">
        <f t="shared" si="12"/>
        <v>1002.3873853706591</v>
      </c>
      <c r="D40" s="166">
        <f t="shared" si="8"/>
        <v>100322.61261462934</v>
      </c>
      <c r="E40" s="166">
        <f t="shared" si="11"/>
        <v>6.2017073156263187</v>
      </c>
      <c r="G40" s="165">
        <v>7</v>
      </c>
      <c r="H40" s="166">
        <f t="shared" si="9"/>
        <v>22.540260562236295</v>
      </c>
      <c r="I40" s="167">
        <f t="shared" si="13"/>
        <v>6.2017073156263184E-3</v>
      </c>
      <c r="J40" s="168">
        <f t="shared" si="10"/>
        <v>0.80154300954487523</v>
      </c>
      <c r="K40" s="165">
        <v>7</v>
      </c>
      <c r="L40" s="169"/>
      <c r="M40" s="170"/>
    </row>
    <row r="41" spans="1:13" x14ac:dyDescent="0.4">
      <c r="A41" s="165">
        <v>7.5</v>
      </c>
      <c r="B41" s="166">
        <f t="shared" si="7"/>
        <v>7.4</v>
      </c>
      <c r="C41" s="166">
        <f t="shared" si="12"/>
        <v>1037.3252668180478</v>
      </c>
      <c r="D41" s="166">
        <f t="shared" si="8"/>
        <v>100287.67473318195</v>
      </c>
      <c r="E41" s="166">
        <f t="shared" si="11"/>
        <v>6.4201016114485174</v>
      </c>
      <c r="G41" s="165">
        <v>7.5</v>
      </c>
      <c r="H41" s="166">
        <f t="shared" si="9"/>
        <v>23.594816140393888</v>
      </c>
      <c r="I41" s="167">
        <f t="shared" si="13"/>
        <v>6.4201016114485178E-3</v>
      </c>
      <c r="J41" s="168">
        <f t="shared" si="10"/>
        <v>0.80325216356628293</v>
      </c>
      <c r="K41" s="165">
        <v>7.5</v>
      </c>
      <c r="L41" s="169"/>
      <c r="M41" s="170"/>
    </row>
    <row r="42" spans="1:13" x14ac:dyDescent="0.4">
      <c r="A42" s="165">
        <v>8</v>
      </c>
      <c r="B42" s="166">
        <f t="shared" si="7"/>
        <v>7.9</v>
      </c>
      <c r="C42" s="166">
        <f t="shared" si="12"/>
        <v>1073.3309742015704</v>
      </c>
      <c r="D42" s="166">
        <f t="shared" si="8"/>
        <v>100251.66902579843</v>
      </c>
      <c r="E42" s="166">
        <f t="shared" si="11"/>
        <v>6.6453300851440646</v>
      </c>
      <c r="G42" s="165">
        <v>8</v>
      </c>
      <c r="H42" s="166">
        <f t="shared" si="9"/>
        <v>24.666881686233854</v>
      </c>
      <c r="I42" s="167">
        <f t="shared" si="13"/>
        <v>6.645330085144065E-3</v>
      </c>
      <c r="J42" s="168">
        <f t="shared" si="10"/>
        <v>0.80497101755923961</v>
      </c>
      <c r="K42" s="165">
        <v>8</v>
      </c>
      <c r="L42" s="169"/>
      <c r="M42" s="170"/>
    </row>
    <row r="43" spans="1:13" x14ac:dyDescent="0.4">
      <c r="A43" s="165">
        <v>8.5</v>
      </c>
      <c r="B43" s="166">
        <f t="shared" si="7"/>
        <v>8.4</v>
      </c>
      <c r="C43" s="166">
        <f t="shared" si="12"/>
        <v>1110.4322867151302</v>
      </c>
      <c r="D43" s="166">
        <f t="shared" si="8"/>
        <v>100214.56771328487</v>
      </c>
      <c r="E43" s="166">
        <f t="shared" si="11"/>
        <v>6.8775812624910557</v>
      </c>
      <c r="G43" s="165">
        <v>8.5</v>
      </c>
      <c r="H43" s="166">
        <f t="shared" si="9"/>
        <v>25.756948348389862</v>
      </c>
      <c r="I43" s="167">
        <f t="shared" si="13"/>
        <v>6.8775812624910556E-3</v>
      </c>
      <c r="J43" s="168">
        <f t="shared" si="10"/>
        <v>0.80669985870115524</v>
      </c>
      <c r="K43" s="165">
        <v>8.5</v>
      </c>
      <c r="L43" s="169"/>
      <c r="M43" s="170"/>
    </row>
    <row r="44" spans="1:13" x14ac:dyDescent="0.4">
      <c r="A44" s="165">
        <v>9</v>
      </c>
      <c r="B44" s="166">
        <f t="shared" si="7"/>
        <v>8.9</v>
      </c>
      <c r="C44" s="166">
        <f t="shared" si="12"/>
        <v>1148.6575687844665</v>
      </c>
      <c r="D44" s="166">
        <f t="shared" si="8"/>
        <v>100176.34243121554</v>
      </c>
      <c r="E44" s="166">
        <f t="shared" si="11"/>
        <v>7.1170483267499609</v>
      </c>
      <c r="G44" s="165">
        <v>9</v>
      </c>
      <c r="H44" s="166">
        <f t="shared" si="9"/>
        <v>26.865519646315761</v>
      </c>
      <c r="I44" s="167">
        <f t="shared" si="13"/>
        <v>7.1170483267499612E-3</v>
      </c>
      <c r="J44" s="168">
        <f t="shared" si="10"/>
        <v>0.80843898183609497</v>
      </c>
      <c r="K44" s="165">
        <v>9</v>
      </c>
      <c r="L44" s="169"/>
      <c r="M44" s="170"/>
    </row>
    <row r="45" spans="1:13" x14ac:dyDescent="0.4">
      <c r="A45" s="165">
        <v>9.5</v>
      </c>
      <c r="B45" s="166">
        <f t="shared" si="7"/>
        <v>9.4</v>
      </c>
      <c r="C45" s="166">
        <f t="shared" si="12"/>
        <v>1188.0357790894955</v>
      </c>
      <c r="D45" s="166">
        <f t="shared" si="8"/>
        <v>100136.96422091051</v>
      </c>
      <c r="E45" s="166">
        <f t="shared" si="11"/>
        <v>7.3639292322541312</v>
      </c>
      <c r="G45" s="165">
        <v>9.5</v>
      </c>
      <c r="H45" s="166">
        <f t="shared" si="9"/>
        <v>27.993111776704083</v>
      </c>
      <c r="I45" s="167">
        <f t="shared" si="13"/>
        <v>7.3639292322541308E-3</v>
      </c>
      <c r="J45" s="168">
        <f t="shared" si="10"/>
        <v>0.81018868967311963</v>
      </c>
      <c r="K45" s="165">
        <v>9.5</v>
      </c>
      <c r="L45" s="169"/>
      <c r="M45" s="170"/>
    </row>
    <row r="46" spans="1:13" x14ac:dyDescent="0.4">
      <c r="A46" s="165">
        <v>10</v>
      </c>
      <c r="B46" s="166">
        <f t="shared" si="7"/>
        <v>9.9</v>
      </c>
      <c r="C46" s="166">
        <f t="shared" si="12"/>
        <v>1228.5964796604169</v>
      </c>
      <c r="D46" s="166">
        <f t="shared" si="8"/>
        <v>100096.40352033958</v>
      </c>
      <c r="E46" s="166">
        <f t="shared" si="11"/>
        <v>7.6184268214143183</v>
      </c>
      <c r="G46" s="165">
        <v>10</v>
      </c>
      <c r="H46" s="166">
        <f t="shared" si="9"/>
        <v>29.140253929099998</v>
      </c>
      <c r="I46" s="167">
        <f t="shared" si="13"/>
        <v>7.6184268214143187E-3</v>
      </c>
      <c r="J46" s="168">
        <f t="shared" si="10"/>
        <v>0.81194929299055207</v>
      </c>
      <c r="K46" s="165">
        <v>10</v>
      </c>
      <c r="L46" s="169"/>
      <c r="M46" s="170"/>
    </row>
    <row r="47" spans="1:13" x14ac:dyDescent="0.4">
      <c r="A47" s="165">
        <v>10.5</v>
      </c>
      <c r="B47" s="166">
        <f t="shared" si="7"/>
        <v>10.4</v>
      </c>
      <c r="C47" s="166">
        <f t="shared" si="12"/>
        <v>1270.3698450471602</v>
      </c>
      <c r="D47" s="166">
        <f t="shared" si="8"/>
        <v>100054.63015495284</v>
      </c>
      <c r="E47" s="166">
        <f t="shared" si="11"/>
        <v>7.880748945277297</v>
      </c>
      <c r="G47" s="165">
        <v>10.5</v>
      </c>
      <c r="H47" s="166">
        <f t="shared" si="9"/>
        <v>30.307488611084409</v>
      </c>
      <c r="I47" s="167">
        <f t="shared" si="13"/>
        <v>7.8807489452772973E-3</v>
      </c>
      <c r="J47" s="168">
        <f t="shared" si="10"/>
        <v>0.81372111084640664</v>
      </c>
      <c r="K47" s="165">
        <v>10.5</v>
      </c>
      <c r="L47" s="169"/>
      <c r="M47" s="170"/>
    </row>
    <row r="48" spans="1:13" x14ac:dyDescent="0.4">
      <c r="A48" s="165">
        <v>11</v>
      </c>
      <c r="B48" s="166">
        <f t="shared" si="7"/>
        <v>10.9</v>
      </c>
      <c r="C48" s="166">
        <f t="shared" si="12"/>
        <v>1313.3866715617226</v>
      </c>
      <c r="D48" s="166">
        <f t="shared" si="8"/>
        <v>100011.61332843828</v>
      </c>
      <c r="E48" s="166">
        <f t="shared" si="11"/>
        <v>8.1511085877852381</v>
      </c>
      <c r="G48" s="165">
        <v>11</v>
      </c>
      <c r="H48" s="166">
        <f t="shared" si="9"/>
        <v>31.495371983417282</v>
      </c>
      <c r="I48" s="167">
        <f t="shared" si="13"/>
        <v>8.1511085877852378E-3</v>
      </c>
      <c r="J48" s="168">
        <f t="shared" si="10"/>
        <v>0.81550447079522481</v>
      </c>
      <c r="K48" s="165">
        <v>11</v>
      </c>
      <c r="L48" s="169"/>
      <c r="M48" s="170"/>
    </row>
    <row r="49" spans="1:13" x14ac:dyDescent="0.4">
      <c r="A49" s="165">
        <v>11.5</v>
      </c>
      <c r="B49" s="166">
        <f t="shared" si="7"/>
        <v>11.4</v>
      </c>
      <c r="C49" s="166">
        <f t="shared" si="12"/>
        <v>1357.6783865929367</v>
      </c>
      <c r="D49" s="166">
        <f t="shared" si="8"/>
        <v>99967.321613407068</v>
      </c>
      <c r="E49" s="166">
        <f t="shared" si="11"/>
        <v>8.4297239938895299</v>
      </c>
      <c r="G49" s="165">
        <v>11.5</v>
      </c>
      <c r="H49" s="166">
        <f t="shared" si="9"/>
        <v>32.704474205551151</v>
      </c>
      <c r="I49" s="167">
        <f t="shared" si="13"/>
        <v>8.4297239938895298E-3</v>
      </c>
      <c r="J49" s="168">
        <f t="shared" si="10"/>
        <v>0.81729970911157446</v>
      </c>
      <c r="K49" s="165">
        <v>11.5</v>
      </c>
      <c r="L49" s="169"/>
      <c r="M49" s="170"/>
    </row>
    <row r="50" spans="1:13" x14ac:dyDescent="0.4">
      <c r="A50" s="165">
        <v>12</v>
      </c>
      <c r="B50" s="166">
        <f t="shared" si="7"/>
        <v>11.9</v>
      </c>
      <c r="C50" s="166">
        <f t="shared" si="12"/>
        <v>1403.277057993193</v>
      </c>
      <c r="D50" s="166">
        <f t="shared" si="8"/>
        <v>99921.722942006803</v>
      </c>
      <c r="E50" s="166">
        <f t="shared" si="11"/>
        <v>8.7168188016800965</v>
      </c>
      <c r="G50" s="165">
        <v>12</v>
      </c>
      <c r="H50" s="166">
        <f t="shared" si="9"/>
        <v>33.9353797919443</v>
      </c>
      <c r="I50" s="167">
        <f t="shared" si="13"/>
        <v>8.7168188016800967E-3</v>
      </c>
      <c r="J50" s="168">
        <f t="shared" si="10"/>
        <v>0.81910717102048269</v>
      </c>
      <c r="K50" s="165">
        <v>12</v>
      </c>
      <c r="L50" s="169"/>
      <c r="M50" s="170"/>
    </row>
    <row r="51" spans="1:13" x14ac:dyDescent="0.4">
      <c r="A51" s="165">
        <v>12.5</v>
      </c>
      <c r="B51" s="166">
        <f t="shared" si="7"/>
        <v>12.4</v>
      </c>
      <c r="C51" s="166">
        <f>611.14*EXP(17.269*(((273.16+A51)-273.16)/((273.16+A51)-35.86)))</f>
        <v>1450.2154035366293</v>
      </c>
      <c r="D51" s="166">
        <f t="shared" si="8"/>
        <v>99874.784596463374</v>
      </c>
      <c r="E51" s="166">
        <f t="shared" si="11"/>
        <v>9.0126221786990222</v>
      </c>
      <c r="G51" s="165">
        <v>12.5</v>
      </c>
      <c r="H51" s="166">
        <f t="shared" si="9"/>
        <v>35.188687979623893</v>
      </c>
      <c r="I51" s="167">
        <f t="shared" si="13"/>
        <v>9.0126221786990222E-3</v>
      </c>
      <c r="J51" s="168">
        <f t="shared" si="10"/>
        <v>0.82092721093508525</v>
      </c>
      <c r="K51" s="165">
        <v>12.5</v>
      </c>
      <c r="L51" s="169"/>
      <c r="M51" s="170"/>
    </row>
    <row r="52" spans="1:13" x14ac:dyDescent="0.4">
      <c r="A52" s="165">
        <v>13</v>
      </c>
      <c r="B52" s="166">
        <f t="shared" si="7"/>
        <v>12.9</v>
      </c>
      <c r="C52" s="166">
        <f t="shared" si="12"/>
        <v>1498.5268004482734</v>
      </c>
      <c r="D52" s="166">
        <f t="shared" si="8"/>
        <v>99826.473199551721</v>
      </c>
      <c r="E52" s="166">
        <f t="shared" si="11"/>
        <v>9.3173689626153813</v>
      </c>
      <c r="G52" s="165">
        <v>13</v>
      </c>
      <c r="H52" s="166">
        <f t="shared" si="9"/>
        <v>36.465013107470767</v>
      </c>
      <c r="I52" s="167">
        <f t="shared" si="13"/>
        <v>9.317368962615381E-3</v>
      </c>
      <c r="J52" s="168">
        <f t="shared" si="10"/>
        <v>0.82276019270178558</v>
      </c>
      <c r="K52" s="165">
        <v>13</v>
      </c>
      <c r="L52" s="169"/>
      <c r="M52" s="170"/>
    </row>
    <row r="53" spans="1:13" x14ac:dyDescent="0.4">
      <c r="A53" s="165">
        <v>13.5</v>
      </c>
      <c r="B53" s="166">
        <f t="shared" si="7"/>
        <v>13.4</v>
      </c>
      <c r="C53" s="166">
        <f t="shared" si="12"/>
        <v>1548.2452950036304</v>
      </c>
      <c r="D53" s="166">
        <f t="shared" si="8"/>
        <v>99776.754704996376</v>
      </c>
      <c r="E53" s="166">
        <f t="shared" si="11"/>
        <v>9.6312998064467408</v>
      </c>
      <c r="G53" s="165">
        <v>13.5</v>
      </c>
      <c r="H53" s="166">
        <f t="shared" si="9"/>
        <v>37.764985007720654</v>
      </c>
      <c r="I53" s="167">
        <f t="shared" si="13"/>
        <v>9.6312998064467404E-3</v>
      </c>
      <c r="J53" s="168">
        <f t="shared" si="10"/>
        <v>0.8246064898532367</v>
      </c>
      <c r="K53" s="165">
        <v>13.5</v>
      </c>
      <c r="L53" s="169"/>
      <c r="M53" s="170"/>
    </row>
    <row r="54" spans="1:13" x14ac:dyDescent="0.4">
      <c r="A54" s="165">
        <v>14</v>
      </c>
      <c r="B54" s="166">
        <f t="shared" si="7"/>
        <v>13.9</v>
      </c>
      <c r="C54" s="166">
        <f t="shared" si="12"/>
        <v>1599.4056121981712</v>
      </c>
      <c r="D54" s="166">
        <f t="shared" si="8"/>
        <v>99725.59438780183</v>
      </c>
      <c r="E54" s="166">
        <f t="shared" si="11"/>
        <v>9.9546613285218477</v>
      </c>
      <c r="G54" s="165">
        <v>14</v>
      </c>
      <c r="H54" s="166">
        <f t="shared" si="9"/>
        <v>39.089249410200523</v>
      </c>
      <c r="I54" s="167">
        <f t="shared" si="13"/>
        <v>9.9546613285218469E-3</v>
      </c>
      <c r="J54" s="168">
        <f t="shared" si="10"/>
        <v>0.82646648586947036</v>
      </c>
      <c r="K54" s="165">
        <v>14</v>
      </c>
      <c r="L54" s="169"/>
      <c r="M54" s="170"/>
    </row>
    <row r="55" spans="1:13" x14ac:dyDescent="0.4">
      <c r="A55" s="165">
        <v>14.5</v>
      </c>
      <c r="B55" s="166">
        <f t="shared" si="7"/>
        <v>14.4</v>
      </c>
      <c r="C55" s="166">
        <f t="shared" si="12"/>
        <v>1652.0431654861761</v>
      </c>
      <c r="D55" s="166">
        <f t="shared" si="8"/>
        <v>99672.956834513825</v>
      </c>
      <c r="E55" s="166">
        <f t="shared" si="11"/>
        <v>10.287706267388362</v>
      </c>
      <c r="G55" s="165">
        <v>14.5</v>
      </c>
      <c r="H55" s="166">
        <f t="shared" si="9"/>
        <v>40.438468359843867</v>
      </c>
      <c r="I55" s="167">
        <f t="shared" si="13"/>
        <v>1.0287706267388362E-2</v>
      </c>
      <c r="J55" s="168">
        <f t="shared" si="10"/>
        <v>0.82834057444751386</v>
      </c>
      <c r="K55" s="165">
        <v>14.5</v>
      </c>
      <c r="L55" s="169"/>
      <c r="M55" s="170"/>
    </row>
    <row r="56" spans="1:13" x14ac:dyDescent="0.4">
      <c r="A56" s="165">
        <v>15</v>
      </c>
      <c r="B56" s="166">
        <f t="shared" si="7"/>
        <v>14.9</v>
      </c>
      <c r="C56" s="166">
        <f t="shared" si="12"/>
        <v>1706.1940665883733</v>
      </c>
      <c r="D56" s="166">
        <f t="shared" si="8"/>
        <v>99618.805933411626</v>
      </c>
      <c r="E56" s="166">
        <f t="shared" si="11"/>
        <v>10.630693641879592</v>
      </c>
      <c r="G56" s="165">
        <v>15</v>
      </c>
      <c r="H56" s="166">
        <f t="shared" si="9"/>
        <v>41.813320648055551</v>
      </c>
      <c r="I56" s="167">
        <f t="shared" si="13"/>
        <v>1.0630693641879591E-2</v>
      </c>
      <c r="J56" s="168">
        <f t="shared" si="10"/>
        <v>0.8302291597798519</v>
      </c>
      <c r="K56" s="165">
        <v>15</v>
      </c>
      <c r="L56" s="169"/>
      <c r="M56" s="170"/>
    </row>
    <row r="57" spans="1:13" x14ac:dyDescent="0.4">
      <c r="A57" s="165">
        <v>15.5</v>
      </c>
      <c r="B57" s="166">
        <f t="shared" si="7"/>
        <v>15.4</v>
      </c>
      <c r="C57" s="166">
        <f t="shared" si="12"/>
        <v>1761.8951353677908</v>
      </c>
      <c r="D57" s="166">
        <f t="shared" si="8"/>
        <v>99563.104864632216</v>
      </c>
      <c r="E57" s="166">
        <f t="shared" si="11"/>
        <v>10.983888916564547</v>
      </c>
      <c r="G57" s="165">
        <v>15.5</v>
      </c>
      <c r="H57" s="166">
        <f t="shared" si="9"/>
        <v>43.214502258524718</v>
      </c>
      <c r="I57" s="167">
        <f t="shared" si="13"/>
        <v>1.0983888916564547E-2</v>
      </c>
      <c r="J57" s="168">
        <f t="shared" si="10"/>
        <v>0.83213265684211279</v>
      </c>
      <c r="K57" s="165">
        <v>15.5</v>
      </c>
      <c r="L57" s="169"/>
      <c r="M57" s="170"/>
    </row>
    <row r="58" spans="1:13" x14ac:dyDescent="0.4">
      <c r="A58" s="165">
        <v>16</v>
      </c>
      <c r="B58" s="166">
        <f t="shared" si="7"/>
        <v>15.9</v>
      </c>
      <c r="C58" s="166">
        <f t="shared" si="12"/>
        <v>1819.1839097732338</v>
      </c>
      <c r="D58" s="166">
        <f t="shared" si="8"/>
        <v>99505.81609022677</v>
      </c>
      <c r="E58" s="166">
        <f t="shared" si="11"/>
        <v>11.347564172816773</v>
      </c>
      <c r="G58" s="165">
        <v>16</v>
      </c>
      <c r="H58" s="166">
        <f t="shared" si="9"/>
        <v>44.642726828113638</v>
      </c>
      <c r="I58" s="167">
        <f t="shared" si="13"/>
        <v>1.1347564172816772E-2</v>
      </c>
      <c r="J58" s="168">
        <f t="shared" si="10"/>
        <v>0.83405149169036608</v>
      </c>
      <c r="K58" s="165">
        <v>16</v>
      </c>
      <c r="L58" s="169"/>
      <c r="M58" s="170"/>
    </row>
    <row r="59" spans="1:13" x14ac:dyDescent="0.4">
      <c r="A59" s="165">
        <v>16.5</v>
      </c>
      <c r="B59" s="166">
        <f t="shared" si="7"/>
        <v>16.399999999999999</v>
      </c>
      <c r="C59" s="166">
        <f t="shared" si="12"/>
        <v>1878.0986558497796</v>
      </c>
      <c r="D59" s="166">
        <f t="shared" si="8"/>
        <v>99446.901344150217</v>
      </c>
      <c r="E59" s="166">
        <f>I59*1000</f>
        <v>11.721998285748946</v>
      </c>
      <c r="G59" s="165">
        <v>16.5</v>
      </c>
      <c r="H59" s="166">
        <f>(((1.005+(1.88*(E59/1000)))*A59)+(2487*(E59/1000)))</f>
        <v>46.098726123481562</v>
      </c>
      <c r="I59" s="167">
        <f>(18/29)*(C59/($N$2-C59))</f>
        <v>1.1721998285748946E-2</v>
      </c>
      <c r="J59" s="168">
        <f t="shared" si="10"/>
        <v>0.83598610176845423</v>
      </c>
      <c r="K59" s="165">
        <v>16.5</v>
      </c>
      <c r="L59" s="169"/>
      <c r="M59" s="170"/>
    </row>
    <row r="60" spans="1:13" x14ac:dyDescent="0.4">
      <c r="A60" s="165">
        <v>17</v>
      </c>
      <c r="B60" s="166">
        <f t="shared" si="7"/>
        <v>16.899999999999999</v>
      </c>
      <c r="C60" s="166">
        <f t="shared" si="12"/>
        <v>1938.6783778156737</v>
      </c>
      <c r="D60" s="166">
        <f t="shared" si="8"/>
        <v>99386.321622184332</v>
      </c>
      <c r="E60" s="166">
        <f t="shared" si="11"/>
        <v>12.107477107272565</v>
      </c>
      <c r="G60" s="165">
        <v>17</v>
      </c>
      <c r="H60" s="166">
        <f t="shared" si="9"/>
        <v>47.583250534135303</v>
      </c>
      <c r="I60" s="167">
        <f t="shared" si="13"/>
        <v>1.2107477107272566E-2</v>
      </c>
      <c r="J60" s="168">
        <f t="shared" si="10"/>
        <v>0.83793693622578158</v>
      </c>
      <c r="K60" s="165">
        <v>17</v>
      </c>
      <c r="L60" s="169"/>
      <c r="M60" s="170"/>
    </row>
    <row r="61" spans="1:13" x14ac:dyDescent="0.4">
      <c r="A61" s="165">
        <v>17.5</v>
      </c>
      <c r="B61" s="166">
        <f t="shared" si="7"/>
        <v>17.399999999999999</v>
      </c>
      <c r="C61" s="166">
        <f t="shared" si="12"/>
        <v>2000.9628282049935</v>
      </c>
      <c r="D61" s="166">
        <f t="shared" si="8"/>
        <v>99324.037171795004</v>
      </c>
      <c r="E61" s="166">
        <f t="shared" si="11"/>
        <v>12.5042936555549</v>
      </c>
      <c r="G61" s="165">
        <v>17.5</v>
      </c>
      <c r="H61" s="166">
        <f t="shared" si="9"/>
        <v>49.097069582632791</v>
      </c>
      <c r="I61" s="167">
        <f t="shared" si="13"/>
        <v>1.25042936555549E-2</v>
      </c>
      <c r="J61" s="168">
        <f t="shared" si="10"/>
        <v>0.83990445624602761</v>
      </c>
      <c r="K61" s="165">
        <v>17.5</v>
      </c>
      <c r="L61" s="169"/>
      <c r="M61" s="170"/>
    </row>
    <row r="62" spans="1:13" x14ac:dyDescent="0.4">
      <c r="A62" s="165">
        <v>18</v>
      </c>
      <c r="B62" s="166">
        <f t="shared" si="7"/>
        <v>17.899999999999999</v>
      </c>
      <c r="C62" s="166">
        <f t="shared" si="12"/>
        <v>2064.9925180754335</v>
      </c>
      <c r="D62" s="166">
        <f t="shared" si="8"/>
        <v>99260.007481924564</v>
      </c>
      <c r="E62" s="166">
        <f t="shared" si="11"/>
        <v>12.912748311159042</v>
      </c>
      <c r="G62" s="165">
        <v>18</v>
      </c>
      <c r="H62" s="166">
        <f t="shared" si="9"/>
        <v>50.640972452702158</v>
      </c>
      <c r="I62" s="167">
        <f t="shared" si="13"/>
        <v>1.2912748311159043E-2</v>
      </c>
      <c r="J62" s="168">
        <f t="shared" si="10"/>
        <v>0.84188913538725529</v>
      </c>
      <c r="K62" s="165">
        <v>18</v>
      </c>
      <c r="L62" s="169"/>
      <c r="M62" s="170"/>
    </row>
    <row r="63" spans="1:13" x14ac:dyDescent="0.4">
      <c r="A63" s="165">
        <v>18.5</v>
      </c>
      <c r="B63" s="166">
        <f t="shared" si="7"/>
        <v>18.399999999999999</v>
      </c>
      <c r="C63" s="166">
        <f t="shared" si="12"/>
        <v>2130.8087272805501</v>
      </c>
      <c r="D63" s="166">
        <f t="shared" si="8"/>
        <v>99194.191272719443</v>
      </c>
      <c r="E63" s="166">
        <f t="shared" si="11"/>
        <v>13.333149020167173</v>
      </c>
      <c r="G63" s="165">
        <v>18.5</v>
      </c>
      <c r="H63" s="166">
        <f t="shared" si="9"/>
        <v>52.215768536077171</v>
      </c>
      <c r="I63" s="167">
        <f t="shared" si="13"/>
        <v>1.3333149020167174E-2</v>
      </c>
      <c r="J63" s="168">
        <f t="shared" si="10"/>
        <v>0.8438914599339199</v>
      </c>
      <c r="K63" s="165">
        <v>18.5</v>
      </c>
      <c r="L63" s="169"/>
      <c r="M63" s="170"/>
    </row>
    <row r="64" spans="1:13" x14ac:dyDescent="0.4">
      <c r="A64" s="165">
        <v>19</v>
      </c>
      <c r="B64" s="166">
        <f t="shared" si="7"/>
        <v>18.899999999999999</v>
      </c>
      <c r="C64" s="166">
        <f t="shared" si="12"/>
        <v>2198.4535148058017</v>
      </c>
      <c r="D64" s="166">
        <f t="shared" si="8"/>
        <v>99126.546485194194</v>
      </c>
      <c r="E64" s="166">
        <f t="shared" si="11"/>
        <v>13.765811504602434</v>
      </c>
      <c r="G64" s="165">
        <v>19</v>
      </c>
      <c r="H64" s="166">
        <f t="shared" si="9"/>
        <v>53.822287998890644</v>
      </c>
      <c r="I64" s="167">
        <f t="shared" si="13"/>
        <v>1.3765811504602434E-2</v>
      </c>
      <c r="J64" s="168">
        <f t="shared" si="10"/>
        <v>0.84591192926130743</v>
      </c>
      <c r="K64" s="165">
        <v>19</v>
      </c>
      <c r="L64" s="169"/>
      <c r="M64" s="170"/>
    </row>
    <row r="65" spans="1:13" x14ac:dyDescent="0.4">
      <c r="A65" s="165">
        <v>19.5</v>
      </c>
      <c r="B65" s="166">
        <f t="shared" si="7"/>
        <v>19.399999999999999</v>
      </c>
      <c r="C65" s="166">
        <f t="shared" si="12"/>
        <v>2267.9697291676862</v>
      </c>
      <c r="D65" s="166">
        <f t="shared" si="8"/>
        <v>99057.030270832314</v>
      </c>
      <c r="E65" s="166">
        <f t="shared" si="11"/>
        <v>14.211059480480586</v>
      </c>
      <c r="G65" s="165">
        <v>19.5</v>
      </c>
      <c r="H65" s="166">
        <f t="shared" si="9"/>
        <v>55.461382368509632</v>
      </c>
      <c r="I65" s="167">
        <f t="shared" si="13"/>
        <v>1.4211059480480586E-2</v>
      </c>
      <c r="J65" s="168">
        <f t="shared" si="10"/>
        <v>0.84795105621295797</v>
      </c>
      <c r="K65" s="165">
        <v>19.5</v>
      </c>
      <c r="L65" s="169"/>
      <c r="M65" s="170"/>
    </row>
    <row r="66" spans="1:13" x14ac:dyDescent="0.4">
      <c r="A66" s="165">
        <v>20</v>
      </c>
      <c r="B66" s="166">
        <f t="shared" si="7"/>
        <v>19.899999999999999</v>
      </c>
      <c r="C66" s="166">
        <f t="shared" si="12"/>
        <v>2339.4010188752882</v>
      </c>
      <c r="D66" s="166">
        <f t="shared" si="8"/>
        <v>98985.598981124713</v>
      </c>
      <c r="E66" s="166">
        <f t="shared" si="11"/>
        <v>14.669224883839739</v>
      </c>
      <c r="G66" s="165">
        <v>20</v>
      </c>
      <c r="H66" s="166">
        <f t="shared" si="9"/>
        <v>57.133925141741798</v>
      </c>
      <c r="I66" s="167">
        <f t="shared" si="13"/>
        <v>1.4669224883839739E-2</v>
      </c>
      <c r="J66" s="168">
        <f t="shared" si="10"/>
        <v>0.85000936749165745</v>
      </c>
      <c r="K66" s="165">
        <v>20</v>
      </c>
      <c r="L66" s="169"/>
      <c r="M66" s="170"/>
    </row>
    <row r="67" spans="1:13" x14ac:dyDescent="0.4">
      <c r="A67" s="165">
        <v>20.5</v>
      </c>
      <c r="B67" s="166">
        <f t="shared" si="7"/>
        <v>20.399999999999999</v>
      </c>
      <c r="C67" s="166">
        <f t="shared" si="12"/>
        <v>2412.791842953513</v>
      </c>
      <c r="D67" s="166">
        <f t="shared" si="8"/>
        <v>98912.208157046494</v>
      </c>
      <c r="E67" s="166">
        <f t="shared" si="11"/>
        <v>15.140648105114014</v>
      </c>
      <c r="G67" s="165">
        <v>20.5</v>
      </c>
      <c r="H67" s="166">
        <f t="shared" si="9"/>
        <v>58.840812415389649</v>
      </c>
      <c r="I67" s="167">
        <f t="shared" si="13"/>
        <v>1.5140648105114014E-2</v>
      </c>
      <c r="J67" s="168">
        <f t="shared" si="10"/>
        <v>0.85208740406460859</v>
      </c>
      <c r="K67" s="165">
        <v>20.5</v>
      </c>
      <c r="L67" s="169"/>
      <c r="M67" s="170"/>
    </row>
    <row r="68" spans="1:13" x14ac:dyDescent="0.4">
      <c r="A68" s="165">
        <v>21</v>
      </c>
      <c r="B68" s="166">
        <f t="shared" si="7"/>
        <v>20.9</v>
      </c>
      <c r="C68" s="166">
        <f t="shared" si="12"/>
        <v>2488.1874815273036</v>
      </c>
      <c r="D68" s="166">
        <f t="shared" si="8"/>
        <v>98836.812518472696</v>
      </c>
      <c r="E68" s="166">
        <f t="shared" si="11"/>
        <v>15.625678232236096</v>
      </c>
      <c r="G68" s="165">
        <v>21</v>
      </c>
      <c r="H68" s="166">
        <f t="shared" si="9"/>
        <v>60.582963540179847</v>
      </c>
      <c r="I68" s="167">
        <f t="shared" si="13"/>
        <v>1.5625678232236095E-2</v>
      </c>
      <c r="J68" s="168">
        <f t="shared" si="10"/>
        <v>0.85418572158343287</v>
      </c>
      <c r="K68" s="165">
        <v>21</v>
      </c>
      <c r="L68" s="169"/>
      <c r="M68" s="170"/>
    </row>
    <row r="69" spans="1:13" x14ac:dyDescent="0.4">
      <c r="A69" s="165">
        <v>21.5</v>
      </c>
      <c r="B69" s="166">
        <f t="shared" si="7"/>
        <v>21.4</v>
      </c>
      <c r="C69" s="166">
        <f t="shared" si="12"/>
        <v>2565.6340464660716</v>
      </c>
      <c r="D69" s="166">
        <f t="shared" si="8"/>
        <v>98759.365953533925</v>
      </c>
      <c r="E69" s="166">
        <f t="shared" si="11"/>
        <v>16.124673302873177</v>
      </c>
      <c r="G69" s="165">
        <v>21.5</v>
      </c>
      <c r="H69" s="166">
        <f t="shared" si="9"/>
        <v>62.361321799147724</v>
      </c>
      <c r="I69" s="167">
        <f t="shared" si="13"/>
        <v>1.6124673302873177E-2</v>
      </c>
      <c r="J69" s="168">
        <f t="shared" si="10"/>
        <v>0.85630489081967731</v>
      </c>
      <c r="K69" s="165">
        <v>21.5</v>
      </c>
      <c r="L69" s="169"/>
      <c r="M69" s="170"/>
    </row>
    <row r="70" spans="1:13" x14ac:dyDescent="0.4">
      <c r="A70" s="165">
        <v>22</v>
      </c>
      <c r="B70" s="166">
        <f t="shared" si="7"/>
        <v>21.9</v>
      </c>
      <c r="C70" s="166">
        <f t="shared" si="12"/>
        <v>2645.178492087628</v>
      </c>
      <c r="D70" s="166">
        <f t="shared" si="8"/>
        <v>98679.821507912377</v>
      </c>
      <c r="E70" s="166">
        <f t="shared" si="11"/>
        <v>16.638000566222235</v>
      </c>
      <c r="G70" s="165">
        <v>22</v>
      </c>
      <c r="H70" s="166">
        <f t="shared" si="9"/>
        <v>64.176855111613648</v>
      </c>
      <c r="I70" s="167">
        <f t="shared" si="13"/>
        <v>1.6638000566222236E-2</v>
      </c>
      <c r="J70" s="168">
        <f t="shared" si="10"/>
        <v>0.85844549811654158</v>
      </c>
      <c r="K70" s="165">
        <v>22</v>
      </c>
      <c r="L70" s="169"/>
      <c r="M70" s="170"/>
    </row>
    <row r="71" spans="1:13" x14ac:dyDescent="0.4">
      <c r="A71" s="165">
        <v>22.5</v>
      </c>
      <c r="B71" s="166">
        <f t="shared" si="7"/>
        <v>22.4</v>
      </c>
      <c r="C71" s="166">
        <f t="shared" si="12"/>
        <v>2726.8686259208284</v>
      </c>
      <c r="D71" s="166">
        <f t="shared" si="8"/>
        <v>98598.131374079167</v>
      </c>
      <c r="E71" s="166">
        <f t="shared" si="11"/>
        <v>17.166036754812481</v>
      </c>
      <c r="G71" s="165">
        <v>22.5</v>
      </c>
      <c r="H71" s="166">
        <f t="shared" si="9"/>
        <v>66.030556763947203</v>
      </c>
      <c r="I71" s="167">
        <f t="shared" si="13"/>
        <v>1.7166036754812482E-2</v>
      </c>
      <c r="J71" s="168">
        <f t="shared" si="10"/>
        <v>0.86060814585758116</v>
      </c>
      <c r="K71" s="165">
        <v>22.5</v>
      </c>
      <c r="L71" s="169"/>
      <c r="M71" s="170"/>
    </row>
    <row r="72" spans="1:13" x14ac:dyDescent="0.4">
      <c r="A72" s="165">
        <v>23</v>
      </c>
      <c r="B72" s="166">
        <f t="shared" si="7"/>
        <v>22.9</v>
      </c>
      <c r="C72" s="166">
        <f t="shared" si="12"/>
        <v>2810.7531195261718</v>
      </c>
      <c r="D72" s="166">
        <f t="shared" si="8"/>
        <v>98514.246880473831</v>
      </c>
      <c r="E72" s="166">
        <f>I72*1000</f>
        <v>17.709168366786532</v>
      </c>
      <c r="G72" s="165">
        <v>23</v>
      </c>
      <c r="H72" s="166">
        <f>(((1.005+(1.88*(E72/1000)))*A72)+(2487*(E72/1000)))</f>
        <v>67.92344616837795</v>
      </c>
      <c r="I72" s="167">
        <f>(18/29)*(C72/($N$2-C72))</f>
        <v>1.7709168366786533E-2</v>
      </c>
      <c r="J72" s="168">
        <f t="shared" si="10"/>
        <v>0.86279345295317167</v>
      </c>
      <c r="K72" s="165">
        <v>23</v>
      </c>
      <c r="L72" s="169"/>
      <c r="M72" s="170"/>
    </row>
    <row r="73" spans="1:13" x14ac:dyDescent="0.4">
      <c r="A73" s="165">
        <v>23.5</v>
      </c>
      <c r="B73" s="166">
        <f t="shared" si="7"/>
        <v>23.4</v>
      </c>
      <c r="C73" s="166">
        <f t="shared" si="12"/>
        <v>2896.8815193735572</v>
      </c>
      <c r="D73" s="166">
        <f t="shared" si="8"/>
        <v>98428.118480626435</v>
      </c>
      <c r="E73" s="166">
        <f t="shared" si="11"/>
        <v>18.26779195915671</v>
      </c>
      <c r="G73" s="165">
        <v>23.5</v>
      </c>
      <c r="H73" s="166">
        <f t="shared" si="9"/>
        <v>69.856569651178276</v>
      </c>
      <c r="I73" s="167">
        <f>(18/29)*(C73/($N$2-C73))</f>
        <v>1.8267791959156711E-2</v>
      </c>
      <c r="J73" s="168">
        <f t="shared" si="10"/>
        <v>0.86500205534557595</v>
      </c>
      <c r="K73" s="165">
        <v>23.5</v>
      </c>
      <c r="L73" s="169"/>
      <c r="M73" s="170"/>
    </row>
    <row r="74" spans="1:13" x14ac:dyDescent="0.4">
      <c r="A74" s="165">
        <v>24</v>
      </c>
      <c r="B74" s="166">
        <f t="shared" si="7"/>
        <v>23.9</v>
      </c>
      <c r="C74" s="166">
        <f t="shared" si="12"/>
        <v>2985.3042577764168</v>
      </c>
      <c r="D74" s="166">
        <f t="shared" si="8"/>
        <v>98339.695742223586</v>
      </c>
      <c r="E74" s="166">
        <f t="shared" si="11"/>
        <v>18.84231445255929</v>
      </c>
      <c r="G74" s="165">
        <v>24</v>
      </c>
      <c r="H74" s="166">
        <f t="shared" si="9"/>
        <v>71.831001271614426</v>
      </c>
      <c r="I74" s="167">
        <f t="shared" si="13"/>
        <v>1.8842314452559291E-2</v>
      </c>
      <c r="J74" s="168">
        <f t="shared" si="10"/>
        <v>0.86723460653348527</v>
      </c>
      <c r="K74" s="165">
        <v>24</v>
      </c>
      <c r="L74" s="169"/>
      <c r="M74" s="170"/>
    </row>
    <row r="75" spans="1:13" x14ac:dyDescent="0.4">
      <c r="A75" s="165">
        <v>24.5</v>
      </c>
      <c r="B75" s="166">
        <f t="shared" si="7"/>
        <v>24.4</v>
      </c>
      <c r="C75" s="166">
        <f t="shared" si="12"/>
        <v>3076.0726638814035</v>
      </c>
      <c r="D75" s="166">
        <f t="shared" si="8"/>
        <v>98248.927336118591</v>
      </c>
      <c r="E75" s="166">
        <f t="shared" si="11"/>
        <v>19.433153448057428</v>
      </c>
      <c r="G75" s="165">
        <v>24.5</v>
      </c>
      <c r="H75" s="166">
        <f t="shared" si="9"/>
        <v>73.847843673136353</v>
      </c>
      <c r="I75" s="167">
        <f t="shared" si="13"/>
        <v>1.943315344805743E-2</v>
      </c>
      <c r="J75" s="168">
        <f t="shared" si="10"/>
        <v>0.86949177811696587</v>
      </c>
      <c r="K75" s="165">
        <v>24.5</v>
      </c>
      <c r="L75" s="169"/>
      <c r="M75" s="170"/>
    </row>
    <row r="76" spans="1:13" x14ac:dyDescent="0.4">
      <c r="A76" s="165">
        <v>25</v>
      </c>
      <c r="B76" s="166">
        <f t="shared" si="7"/>
        <v>24.9</v>
      </c>
      <c r="C76" s="166">
        <f t="shared" si="12"/>
        <v>3169.2389747128163</v>
      </c>
      <c r="D76" s="166">
        <f t="shared" si="8"/>
        <v>98155.761025287182</v>
      </c>
      <c r="E76" s="166">
        <f t="shared" si="11"/>
        <v>20.04073755657295</v>
      </c>
      <c r="G76" s="165">
        <v>25</v>
      </c>
      <c r="H76" s="166">
        <f t="shared" si="9"/>
        <v>75.908228968355843</v>
      </c>
      <c r="I76" s="167">
        <f t="shared" si="13"/>
        <v>2.004073755657295E-2</v>
      </c>
      <c r="J76" s="168">
        <f t="shared" si="10"/>
        <v>0.87177426036378181</v>
      </c>
      <c r="K76" s="165">
        <v>25</v>
      </c>
      <c r="L76" s="169"/>
      <c r="M76" s="170"/>
    </row>
    <row r="77" spans="1:13" x14ac:dyDescent="0.4">
      <c r="A77" s="165">
        <v>25.5</v>
      </c>
      <c r="B77" s="166">
        <f t="shared" si="7"/>
        <v>25.4</v>
      </c>
      <c r="C77" s="166">
        <f t="shared" si="12"/>
        <v>3264.8563462709462</v>
      </c>
      <c r="D77" s="166">
        <f t="shared" si="8"/>
        <v>98060.143653729057</v>
      </c>
      <c r="E77" s="166">
        <f t="shared" si="11"/>
        <v>20.665506741558989</v>
      </c>
      <c r="G77" s="165">
        <v>25.5</v>
      </c>
      <c r="H77" s="166">
        <f t="shared" si="9"/>
        <v>78.013319659447532</v>
      </c>
      <c r="I77" s="167">
        <f t="shared" si="13"/>
        <v>2.0665506741558988E-2</v>
      </c>
      <c r="J77" s="168">
        <f t="shared" si="10"/>
        <v>0.87408276279812691</v>
      </c>
      <c r="K77" s="165">
        <v>25.5</v>
      </c>
      <c r="L77" s="169"/>
      <c r="M77" s="170"/>
    </row>
    <row r="78" spans="1:13" x14ac:dyDescent="0.4">
      <c r="A78" s="165">
        <v>26</v>
      </c>
      <c r="B78" s="166">
        <f t="shared" si="7"/>
        <v>25.9</v>
      </c>
      <c r="C78" s="166">
        <f t="shared" si="12"/>
        <v>3362.9788646834731</v>
      </c>
      <c r="D78" s="166">
        <f t="shared" si="8"/>
        <v>97962.021135316521</v>
      </c>
      <c r="E78" s="166">
        <f t="shared" si="11"/>
        <v>21.307912675558089</v>
      </c>
      <c r="G78" s="165">
        <v>26</v>
      </c>
      <c r="H78" s="166">
        <f t="shared" si="9"/>
        <v>80.164309595694249</v>
      </c>
      <c r="I78" s="167">
        <f t="shared" si="13"/>
        <v>2.130791267555809E-2</v>
      </c>
      <c r="J78" s="168">
        <f t="shared" si="10"/>
        <v>0.87641801481284654</v>
      </c>
      <c r="K78" s="165">
        <v>26</v>
      </c>
      <c r="L78" s="169"/>
      <c r="M78" s="170"/>
    </row>
    <row r="79" spans="1:13" x14ac:dyDescent="0.4">
      <c r="A79" s="165">
        <v>26.5</v>
      </c>
      <c r="B79" s="166">
        <f t="shared" si="7"/>
        <v>26.4</v>
      </c>
      <c r="C79" s="166">
        <f t="shared" si="12"/>
        <v>3463.6615574090938</v>
      </c>
      <c r="D79" s="166">
        <f t="shared" si="8"/>
        <v>97861.338442590903</v>
      </c>
      <c r="E79" s="166">
        <f t="shared" si="11"/>
        <v>21.968419111326412</v>
      </c>
      <c r="G79" s="165">
        <v>26.5</v>
      </c>
      <c r="H79" s="166">
        <f t="shared" si="9"/>
        <v>82.362424969995061</v>
      </c>
      <c r="I79" s="167">
        <f t="shared" si="13"/>
        <v>2.1968419111326413E-2</v>
      </c>
      <c r="J79" s="168">
        <f t="shared" si="10"/>
        <v>0.87878076630629709</v>
      </c>
      <c r="K79" s="165">
        <v>26.5</v>
      </c>
      <c r="L79" s="169"/>
      <c r="M79" s="170"/>
    </row>
    <row r="80" spans="1:13" x14ac:dyDescent="0.4">
      <c r="A80" s="165">
        <v>27</v>
      </c>
      <c r="B80" s="166">
        <f t="shared" si="7"/>
        <v>26.9</v>
      </c>
      <c r="C80" s="166">
        <f t="shared" si="12"/>
        <v>3566.9604044924904</v>
      </c>
      <c r="D80" s="166">
        <f t="shared" si="8"/>
        <v>97758.039595507507</v>
      </c>
      <c r="E80" s="166">
        <f t="shared" si="11"/>
        <v>22.647502268241489</v>
      </c>
      <c r="G80" s="165">
        <v>27</v>
      </c>
      <c r="H80" s="166">
        <f t="shared" si="9"/>
        <v>84.608925356252513</v>
      </c>
      <c r="I80" s="167">
        <f t="shared" si="13"/>
        <v>2.2647502268241488E-2</v>
      </c>
      <c r="J80" s="168">
        <f t="shared" si="10"/>
        <v>0.8811717883450485</v>
      </c>
      <c r="K80" s="165">
        <v>27</v>
      </c>
      <c r="L80" s="169"/>
      <c r="M80" s="170"/>
    </row>
    <row r="81" spans="1:13" x14ac:dyDescent="0.4">
      <c r="A81" s="165">
        <v>27.5</v>
      </c>
      <c r="B81" s="166">
        <f t="shared" si="7"/>
        <v>27.4</v>
      </c>
      <c r="C81" s="166">
        <f t="shared" si="12"/>
        <v>3672.9323498697863</v>
      </c>
      <c r="D81" s="166">
        <f t="shared" si="8"/>
        <v>97652.067650130208</v>
      </c>
      <c r="E81" s="166">
        <f t="shared" si="11"/>
        <v>23.345651234751315</v>
      </c>
      <c r="G81" s="165">
        <v>27.5</v>
      </c>
      <c r="H81" s="166">
        <f t="shared" si="9"/>
        <v>86.905104789663156</v>
      </c>
      <c r="I81" s="167">
        <f t="shared" si="13"/>
        <v>2.3345651234751314E-2</v>
      </c>
      <c r="J81" s="168">
        <f t="shared" si="10"/>
        <v>0.8835918738537063</v>
      </c>
      <c r="K81" s="165">
        <v>27.5</v>
      </c>
      <c r="L81" s="169"/>
      <c r="M81" s="170"/>
    </row>
    <row r="82" spans="1:13" x14ac:dyDescent="0.4">
      <c r="A82" s="165">
        <v>28</v>
      </c>
      <c r="B82" s="166">
        <f t="shared" si="7"/>
        <v>27.9</v>
      </c>
      <c r="C82" s="166">
        <f t="shared" si="12"/>
        <v>3781.6353127235916</v>
      </c>
      <c r="D82" s="166">
        <f t="shared" si="8"/>
        <v>97543.364687276407</v>
      </c>
      <c r="E82" s="166">
        <f t="shared" si="11"/>
        <v>24.063368387664426</v>
      </c>
      <c r="G82" s="165">
        <v>28</v>
      </c>
      <c r="H82" s="166">
        <f t="shared" si="9"/>
        <v>89.252292892048075</v>
      </c>
      <c r="I82" s="167">
        <f t="shared" si="13"/>
        <v>2.4063368387664427E-2</v>
      </c>
      <c r="J82" s="168">
        <f t="shared" si="10"/>
        <v>0.88604183833319905</v>
      </c>
      <c r="K82" s="165">
        <v>28</v>
      </c>
      <c r="L82" s="169"/>
      <c r="M82" s="170"/>
    </row>
    <row r="83" spans="1:13" x14ac:dyDescent="0.4">
      <c r="A83" s="165">
        <v>28.5</v>
      </c>
      <c r="B83" s="166">
        <f t="shared" si="7"/>
        <v>28.4</v>
      </c>
      <c r="C83" s="166">
        <f t="shared" si="12"/>
        <v>3893.1281988867518</v>
      </c>
      <c r="D83" s="166">
        <f t="shared" si="8"/>
        <v>97431.871801113244</v>
      </c>
      <c r="E83" s="166">
        <f t="shared" si="11"/>
        <v>24.801169829125755</v>
      </c>
      <c r="G83" s="165">
        <v>28.5</v>
      </c>
      <c r="H83" s="166">
        <f t="shared" si="9"/>
        <v>91.651856044480311</v>
      </c>
      <c r="I83" s="167">
        <f t="shared" si="13"/>
        <v>2.4801169829125756E-2</v>
      </c>
      <c r="J83" s="168">
        <f t="shared" si="10"/>
        <v>0.88852252060895298</v>
      </c>
      <c r="K83" s="165">
        <v>28.5</v>
      </c>
      <c r="L83" s="169"/>
      <c r="M83" s="170"/>
    </row>
    <row r="84" spans="1:13" x14ac:dyDescent="0.4">
      <c r="A84" s="165">
        <v>29</v>
      </c>
      <c r="B84" s="166">
        <f t="shared" si="7"/>
        <v>28.9</v>
      </c>
      <c r="C84" s="166">
        <f t="shared" si="12"/>
        <v>4007.4709122938889</v>
      </c>
      <c r="D84" s="166">
        <f t="shared" si="8"/>
        <v>97317.529087706105</v>
      </c>
      <c r="E84" s="166">
        <f t="shared" si="11"/>
        <v>25.55958584217074</v>
      </c>
      <c r="G84" s="165">
        <v>29</v>
      </c>
      <c r="H84" s="166">
        <f t="shared" si="9"/>
        <v>94.105198609593771</v>
      </c>
      <c r="I84" s="167">
        <f t="shared" si="13"/>
        <v>2.5559585842170742E-2</v>
      </c>
      <c r="J84" s="168">
        <f t="shared" si="10"/>
        <v>0.89103478361045896</v>
      </c>
      <c r="K84" s="165">
        <v>29</v>
      </c>
      <c r="L84" s="169"/>
      <c r="M84" s="170"/>
    </row>
    <row r="85" spans="1:13" x14ac:dyDescent="0.4">
      <c r="A85" s="165">
        <v>29.5</v>
      </c>
      <c r="B85" s="166">
        <f t="shared" si="7"/>
        <v>29.4</v>
      </c>
      <c r="C85" s="166">
        <f t="shared" si="12"/>
        <v>4124.7243664798416</v>
      </c>
      <c r="D85" s="166">
        <f t="shared" si="8"/>
        <v>97200.275633520156</v>
      </c>
      <c r="E85" s="166">
        <f t="shared" si="11"/>
        <v>26.339161365801036</v>
      </c>
      <c r="G85" s="165">
        <v>29.5</v>
      </c>
      <c r="H85" s="166">
        <f t="shared" si="9"/>
        <v>96.613764206094501</v>
      </c>
      <c r="I85" s="167">
        <f t="shared" si="13"/>
        <v>2.6339161365801035E-2</v>
      </c>
      <c r="J85" s="168">
        <f t="shared" si="10"/>
        <v>0.89357951518381795</v>
      </c>
      <c r="K85" s="165">
        <v>29.5</v>
      </c>
      <c r="L85" s="169"/>
      <c r="M85" s="170"/>
    </row>
    <row r="86" spans="1:13" x14ac:dyDescent="0.4">
      <c r="A86" s="165">
        <v>30</v>
      </c>
      <c r="B86" s="166">
        <f t="shared" si="7"/>
        <v>29.9</v>
      </c>
      <c r="C86" s="166">
        <f t="shared" si="12"/>
        <v>4244.95049612404</v>
      </c>
      <c r="D86" s="166">
        <f t="shared" si="8"/>
        <v>97080.049503875955</v>
      </c>
      <c r="E86" s="166">
        <f t="shared" si="11"/>
        <v>27.140456490578966</v>
      </c>
      <c r="G86" s="165">
        <v>30</v>
      </c>
      <c r="H86" s="166">
        <f t="shared" si="9"/>
        <v>99.179037038138546</v>
      </c>
      <c r="I86" s="167">
        <f t="shared" si="13"/>
        <v>2.7140456490578967E-2</v>
      </c>
      <c r="J86" s="168">
        <f t="shared" si="10"/>
        <v>0.89615762893894824</v>
      </c>
      <c r="K86" s="165">
        <v>30</v>
      </c>
      <c r="L86" s="169"/>
      <c r="M86" s="170"/>
    </row>
    <row r="87" spans="1:13" x14ac:dyDescent="0.4">
      <c r="A87" s="165">
        <v>30.5</v>
      </c>
      <c r="B87" s="166">
        <f t="shared" si="7"/>
        <v>30.4</v>
      </c>
      <c r="C87" s="166">
        <f t="shared" si="12"/>
        <v>4368.2122686399443</v>
      </c>
      <c r="D87" s="166">
        <f t="shared" si="8"/>
        <v>96956.787731360062</v>
      </c>
      <c r="E87" s="166">
        <f t="shared" si="11"/>
        <v>27.964046975796006</v>
      </c>
      <c r="G87" s="165">
        <v>30.5</v>
      </c>
      <c r="H87" s="166">
        <f t="shared" si="9"/>
        <v>101.80254328239681</v>
      </c>
      <c r="I87" s="167">
        <f t="shared" si="13"/>
        <v>2.7964046975796006E-2</v>
      </c>
      <c r="J87" s="168">
        <f t="shared" si="10"/>
        <v>0.89877006513322888</v>
      </c>
      <c r="K87" s="165">
        <v>30.5</v>
      </c>
      <c r="L87" s="169"/>
      <c r="M87" s="170"/>
    </row>
    <row r="88" spans="1:13" x14ac:dyDescent="0.4">
      <c r="A88" s="165">
        <v>31</v>
      </c>
      <c r="B88" s="166">
        <f t="shared" si="7"/>
        <v>30.9</v>
      </c>
      <c r="C88" s="166">
        <f t="shared" si="12"/>
        <v>4494.573695808529</v>
      </c>
      <c r="D88" s="166">
        <f t="shared" si="8"/>
        <v>96830.426304191467</v>
      </c>
      <c r="E88" s="166">
        <f t="shared" si="11"/>
        <v>28.810524789331009</v>
      </c>
      <c r="G88" s="165">
        <v>31</v>
      </c>
      <c r="H88" s="166">
        <f t="shared" si="9"/>
        <v>104.48585253578844</v>
      </c>
      <c r="I88" s="167">
        <f t="shared" si="13"/>
        <v>2.8810524789331007E-2</v>
      </c>
      <c r="J88" s="168">
        <f t="shared" si="10"/>
        <v>0.90141779159346502</v>
      </c>
      <c r="K88" s="165">
        <v>31</v>
      </c>
      <c r="L88" s="169"/>
      <c r="M88" s="170"/>
    </row>
    <row r="89" spans="1:13" x14ac:dyDescent="0.4">
      <c r="A89" s="165">
        <v>31.5</v>
      </c>
      <c r="B89" s="166">
        <f t="shared" si="7"/>
        <v>31.4</v>
      </c>
      <c r="C89" s="166">
        <f t="shared" si="12"/>
        <v>4624.0998454549463</v>
      </c>
      <c r="D89" s="166">
        <f t="shared" si="8"/>
        <v>96700.900154545059</v>
      </c>
      <c r="E89" s="166">
        <f t="shared" si="11"/>
        <v>29.680498671380189</v>
      </c>
      <c r="G89" s="165">
        <v>31.5</v>
      </c>
      <c r="H89" s="166">
        <f t="shared" si="9"/>
        <v>107.23057932704167</v>
      </c>
      <c r="I89" s="167">
        <f t="shared" si="13"/>
        <v>2.9680498671380187E-2</v>
      </c>
      <c r="J89" s="168">
        <f t="shared" si="10"/>
        <v>0.9041018046781627</v>
      </c>
      <c r="K89" s="165">
        <v>31.5</v>
      </c>
      <c r="L89" s="169"/>
      <c r="M89" s="170"/>
    </row>
    <row r="90" spans="1:13" x14ac:dyDescent="0.4">
      <c r="A90" s="165">
        <v>32</v>
      </c>
      <c r="B90" s="166">
        <f t="shared" ref="B90:B153" si="14">A90-0.1</f>
        <v>31.9</v>
      </c>
      <c r="C90" s="166">
        <f t="shared" si="12"/>
        <v>4756.8568531673363</v>
      </c>
      <c r="D90" s="166">
        <f t="shared" ref="D90:D153" si="15">$N$2-C90</f>
        <v>96568.143146832663</v>
      </c>
      <c r="E90" s="166">
        <f t="shared" ref="E90:E153" si="16">I90*1000</f>
        <v>30.574594723309719</v>
      </c>
      <c r="G90" s="165">
        <v>32</v>
      </c>
      <c r="H90" s="166">
        <f t="shared" ref="H90:H153" si="17">(((1.005+(1.88*(E90/1000)))*A90)+(2487*(E90/1000)))</f>
        <v>110.03838469542558</v>
      </c>
      <c r="I90" s="167">
        <f t="shared" si="13"/>
        <v>3.0574594723309718E-2</v>
      </c>
      <c r="J90" s="168">
        <f t="shared" ref="J90:J153" si="18">((22.41/273)*(A90+273))*((1/28.96)+((1/18.1)*I90))</f>
        <v>0.90682313028222505</v>
      </c>
      <c r="K90" s="165">
        <v>32</v>
      </c>
      <c r="L90" s="169"/>
      <c r="M90" s="170"/>
    </row>
    <row r="91" spans="1:13" x14ac:dyDescent="0.4">
      <c r="A91" s="165">
        <v>32.5</v>
      </c>
      <c r="B91" s="166">
        <f t="shared" si="14"/>
        <v>32.4</v>
      </c>
      <c r="C91" s="166">
        <f t="shared" si="12"/>
        <v>4892.9119340568632</v>
      </c>
      <c r="D91" s="166">
        <f t="shared" si="15"/>
        <v>96432.088065943142</v>
      </c>
      <c r="E91" s="166">
        <f t="shared" si="16"/>
        <v>31.493457022956562</v>
      </c>
      <c r="G91" s="165">
        <v>32.5</v>
      </c>
      <c r="H91" s="166">
        <f t="shared" si="17"/>
        <v>112.91097784019561</v>
      </c>
      <c r="I91" s="167">
        <f t="shared" si="13"/>
        <v>3.1493457022956563E-2</v>
      </c>
      <c r="J91" s="168">
        <f t="shared" si="18"/>
        <v>0.90958282488630571</v>
      </c>
      <c r="K91" s="165">
        <v>32.5</v>
      </c>
      <c r="L91" s="169"/>
      <c r="M91" s="170"/>
    </row>
    <row r="92" spans="1:13" x14ac:dyDescent="0.4">
      <c r="A92" s="165">
        <v>33</v>
      </c>
      <c r="B92" s="166">
        <f t="shared" si="14"/>
        <v>32.9</v>
      </c>
      <c r="C92" s="166">
        <f t="shared" ref="C92:C155" si="19">611.14*EXP(17.269*(((273.16+A92)-273.16)/((273.16+A92)-35.86)))</f>
        <v>5032.3333945579889</v>
      </c>
      <c r="D92" s="166">
        <f t="shared" si="15"/>
        <v>96292.666605442006</v>
      </c>
      <c r="E92" s="166">
        <f t="shared" si="16"/>
        <v>32.437748267782361</v>
      </c>
      <c r="G92" s="165">
        <v>33</v>
      </c>
      <c r="H92" s="166">
        <f t="shared" si="17"/>
        <v>115.85011784450795</v>
      </c>
      <c r="I92" s="167">
        <f t="shared" ref="I92:I155" si="20">(18/29)*(C92/($N$2-C92))</f>
        <v>3.2437748267782361E-2</v>
      </c>
      <c r="J92" s="168">
        <f t="shared" si="18"/>
        <v>0.91238197665318588</v>
      </c>
      <c r="K92" s="165">
        <v>33</v>
      </c>
      <c r="L92" s="169"/>
      <c r="M92" s="170"/>
    </row>
    <row r="93" spans="1:13" x14ac:dyDescent="0.4">
      <c r="A93" s="165">
        <v>33.5</v>
      </c>
      <c r="B93" s="166">
        <f t="shared" si="14"/>
        <v>33.4</v>
      </c>
      <c r="C93" s="166">
        <f t="shared" si="19"/>
        <v>5175.190644267981</v>
      </c>
      <c r="D93" s="166">
        <f t="shared" si="15"/>
        <v>96149.809355732024</v>
      </c>
      <c r="E93" s="166">
        <f t="shared" si="16"/>
        <v>33.408150447369543</v>
      </c>
      <c r="G93" s="165">
        <v>33.5</v>
      </c>
      <c r="H93" s="166">
        <f t="shared" si="17"/>
        <v>118.85761547778338</v>
      </c>
      <c r="I93" s="167">
        <f t="shared" si="20"/>
        <v>3.3408150447369542E-2</v>
      </c>
      <c r="J93" s="168">
        <f t="shared" si="18"/>
        <v>0.91522170657369151</v>
      </c>
      <c r="K93" s="165">
        <v>33.5</v>
      </c>
      <c r="L93" s="169"/>
      <c r="M93" s="170"/>
    </row>
    <row r="94" spans="1:13" x14ac:dyDescent="0.4">
      <c r="A94" s="165">
        <v>34</v>
      </c>
      <c r="B94" s="166">
        <f t="shared" si="14"/>
        <v>33.9</v>
      </c>
      <c r="C94" s="166">
        <f t="shared" si="19"/>
        <v>5321.5542078247017</v>
      </c>
      <c r="D94" s="166">
        <f t="shared" si="15"/>
        <v>96003.445792175306</v>
      </c>
      <c r="E94" s="166">
        <f t="shared" si="16"/>
        <v>34.405365546839917</v>
      </c>
      <c r="G94" s="165">
        <v>34</v>
      </c>
      <c r="H94" s="166">
        <f t="shared" si="17"/>
        <v>121.93533508074486</v>
      </c>
      <c r="I94" s="167">
        <f t="shared" si="20"/>
        <v>3.4405365546839914E-2</v>
      </c>
      <c r="J94" s="168">
        <f t="shared" si="18"/>
        <v>0.91810316966481254</v>
      </c>
      <c r="K94" s="165">
        <v>34</v>
      </c>
      <c r="L94" s="169"/>
      <c r="M94" s="170"/>
    </row>
    <row r="95" spans="1:13" x14ac:dyDescent="0.4">
      <c r="A95" s="165">
        <v>34.5</v>
      </c>
      <c r="B95" s="166">
        <f t="shared" si="14"/>
        <v>34.4</v>
      </c>
      <c r="C95" s="166">
        <f t="shared" si="19"/>
        <v>5471.4957368216355</v>
      </c>
      <c r="D95" s="166">
        <f t="shared" si="15"/>
        <v>95853.504263178358</v>
      </c>
      <c r="E95" s="166">
        <f t="shared" si="16"/>
        <v>35.430116282871758</v>
      </c>
      <c r="G95" s="165">
        <v>34.5</v>
      </c>
      <c r="H95" s="166">
        <f t="shared" si="17"/>
        <v>125.08519653760914</v>
      </c>
      <c r="I95" s="167">
        <f t="shared" si="20"/>
        <v>3.5430116282871758E-2</v>
      </c>
      <c r="J95" s="168">
        <f t="shared" si="18"/>
        <v>0.92102755622285448</v>
      </c>
      <c r="K95" s="165">
        <v>34.5</v>
      </c>
      <c r="L95" s="169"/>
      <c r="M95" s="170"/>
    </row>
    <row r="96" spans="1:13" x14ac:dyDescent="0.4">
      <c r="A96" s="165">
        <v>35</v>
      </c>
      <c r="B96" s="166">
        <f t="shared" si="14"/>
        <v>34.9</v>
      </c>
      <c r="C96" s="166">
        <f t="shared" si="19"/>
        <v>5625.0880217591912</v>
      </c>
      <c r="D96" s="166">
        <f t="shared" si="15"/>
        <v>95699.911978240809</v>
      </c>
      <c r="E96" s="166">
        <f t="shared" si="16"/>
        <v>36.483146874095681</v>
      </c>
      <c r="G96" s="165">
        <v>35</v>
      </c>
      <c r="H96" s="166">
        <f t="shared" si="17"/>
        <v>128.30917734019144</v>
      </c>
      <c r="I96" s="167">
        <f t="shared" si="20"/>
        <v>3.6483146874095679E-2</v>
      </c>
      <c r="J96" s="168">
        <f t="shared" si="18"/>
        <v>0.92399609313462738</v>
      </c>
      <c r="K96" s="165">
        <v>35</v>
      </c>
      <c r="L96" s="169"/>
      <c r="M96" s="170"/>
    </row>
    <row r="97" spans="1:13" x14ac:dyDescent="0.4">
      <c r="A97" s="165">
        <v>35.5</v>
      </c>
      <c r="B97" s="166">
        <f t="shared" si="14"/>
        <v>35.4</v>
      </c>
      <c r="C97" s="166">
        <f t="shared" si="19"/>
        <v>5782.4050040312259</v>
      </c>
      <c r="D97" s="166">
        <f t="shared" si="15"/>
        <v>95542.594995968771</v>
      </c>
      <c r="E97" s="166">
        <f t="shared" si="16"/>
        <v>37.565223847759377</v>
      </c>
      <c r="G97" s="165">
        <v>35.5</v>
      </c>
      <c r="H97" s="166">
        <f t="shared" si="17"/>
        <v>131.60931474897703</v>
      </c>
      <c r="I97" s="167">
        <f t="shared" si="20"/>
        <v>3.7565223847759378E-2</v>
      </c>
      <c r="J97" s="168">
        <f t="shared" si="18"/>
        <v>0.92701004524985864</v>
      </c>
      <c r="K97" s="165">
        <v>35.5</v>
      </c>
      <c r="L97" s="169"/>
      <c r="M97" s="170"/>
    </row>
    <row r="98" spans="1:13" x14ac:dyDescent="0.4">
      <c r="A98" s="165">
        <v>36</v>
      </c>
      <c r="B98" s="166">
        <f t="shared" si="14"/>
        <v>35.9</v>
      </c>
      <c r="C98" s="166">
        <f t="shared" si="19"/>
        <v>5943.5217879457796</v>
      </c>
      <c r="D98" s="166">
        <f t="shared" si="15"/>
        <v>95381.478212054222</v>
      </c>
      <c r="E98" s="166">
        <f t="shared" si="16"/>
        <v>38.677136884670041</v>
      </c>
      <c r="G98" s="165">
        <v>36</v>
      </c>
      <c r="H98" s="166">
        <f t="shared" si="17"/>
        <v>134.98770805652885</v>
      </c>
      <c r="I98" s="167">
        <f t="shared" si="20"/>
        <v>3.8677136884670039E-2</v>
      </c>
      <c r="J98" s="168">
        <f t="shared" si="18"/>
        <v>0.93007071681822728</v>
      </c>
      <c r="K98" s="165">
        <v>36</v>
      </c>
      <c r="L98" s="169"/>
      <c r="M98" s="170"/>
    </row>
    <row r="99" spans="1:13" x14ac:dyDescent="0.4">
      <c r="A99" s="165">
        <v>36.5</v>
      </c>
      <c r="B99" s="166">
        <f t="shared" si="14"/>
        <v>36.4</v>
      </c>
      <c r="C99" s="166">
        <f t="shared" si="19"/>
        <v>6108.5146527790366</v>
      </c>
      <c r="D99" s="166">
        <f t="shared" si="15"/>
        <v>95216.485347220965</v>
      </c>
      <c r="E99" s="166">
        <f t="shared" si="16"/>
        <v>39.819699704550345</v>
      </c>
      <c r="G99" s="165">
        <v>36.5</v>
      </c>
      <c r="H99" s="166">
        <f t="shared" si="17"/>
        <v>138.44652095894295</v>
      </c>
      <c r="I99" s="167">
        <f t="shared" si="20"/>
        <v>3.9819699704550349E-2</v>
      </c>
      <c r="J99" s="168">
        <f t="shared" si="18"/>
        <v>0.93317945299461535</v>
      </c>
      <c r="K99" s="165">
        <v>36.5</v>
      </c>
      <c r="L99" s="169"/>
      <c r="M99" s="170"/>
    </row>
    <row r="100" spans="1:13" x14ac:dyDescent="0.4">
      <c r="A100" s="165">
        <v>37</v>
      </c>
      <c r="B100" s="166">
        <f t="shared" si="14"/>
        <v>36.9</v>
      </c>
      <c r="C100" s="166">
        <f t="shared" si="19"/>
        <v>6277.4610648613852</v>
      </c>
      <c r="D100" s="166">
        <f t="shared" si="15"/>
        <v>95047.538935138611</v>
      </c>
      <c r="E100" s="166">
        <f t="shared" si="16"/>
        <v>40.993750994078646</v>
      </c>
      <c r="G100" s="165">
        <v>37</v>
      </c>
      <c r="H100" s="166">
        <f t="shared" si="17"/>
        <v>141.98798404142173</v>
      </c>
      <c r="I100" s="167">
        <f t="shared" si="20"/>
        <v>4.0993750994078648E-2</v>
      </c>
      <c r="J100" s="168">
        <f t="shared" si="18"/>
        <v>0.93633764141642151</v>
      </c>
      <c r="K100" s="165">
        <v>37</v>
      </c>
      <c r="L100" s="169"/>
      <c r="M100" s="170"/>
    </row>
    <row r="101" spans="1:13" x14ac:dyDescent="0.4">
      <c r="A101" s="165">
        <v>37.5</v>
      </c>
      <c r="B101" s="166">
        <f t="shared" si="14"/>
        <v>37.4</v>
      </c>
      <c r="C101" s="166">
        <f t="shared" si="19"/>
        <v>6450.4396896946337</v>
      </c>
      <c r="D101" s="166">
        <f t="shared" si="15"/>
        <v>94874.560310305373</v>
      </c>
      <c r="E101" s="166">
        <f t="shared" si="16"/>
        <v>42.200155380031056</v>
      </c>
      <c r="G101" s="165">
        <v>37.5</v>
      </c>
      <c r="H101" s="166">
        <f t="shared" si="17"/>
        <v>145.61439738442942</v>
      </c>
      <c r="I101" s="167">
        <f t="shared" si="20"/>
        <v>4.2200155380031058E-2</v>
      </c>
      <c r="J101" s="168">
        <f t="shared" si="18"/>
        <v>0.93954671385701072</v>
      </c>
      <c r="K101" s="165">
        <v>37.5</v>
      </c>
      <c r="L101" s="169"/>
      <c r="M101" s="170"/>
    </row>
    <row r="102" spans="1:13" x14ac:dyDescent="0.4">
      <c r="A102" s="165">
        <v>38</v>
      </c>
      <c r="B102" s="166">
        <f t="shared" si="14"/>
        <v>37.9</v>
      </c>
      <c r="C102" s="166">
        <f t="shared" si="19"/>
        <v>6627.5304040992705</v>
      </c>
      <c r="D102" s="166">
        <f t="shared" si="15"/>
        <v>94697.469595900737</v>
      </c>
      <c r="E102" s="166">
        <f t="shared" si="16"/>
        <v>43.439804450098379</v>
      </c>
      <c r="G102" s="165">
        <v>38</v>
      </c>
      <c r="H102" s="166">
        <f t="shared" si="17"/>
        <v>149.32813329730971</v>
      </c>
      <c r="I102" s="167">
        <f t="shared" si="20"/>
        <v>4.3439804450098381E-2</v>
      </c>
      <c r="J102" s="168">
        <f t="shared" si="18"/>
        <v>0.94280814795964751</v>
      </c>
      <c r="K102" s="165">
        <v>38</v>
      </c>
      <c r="L102" s="169"/>
      <c r="M102" s="170"/>
    </row>
    <row r="103" spans="1:13" x14ac:dyDescent="0.4">
      <c r="A103" s="165">
        <v>38.5</v>
      </c>
      <c r="B103" s="166">
        <f t="shared" si="14"/>
        <v>38.4</v>
      </c>
      <c r="C103" s="166">
        <f t="shared" si="19"/>
        <v>6808.8143083907507</v>
      </c>
      <c r="D103" s="166">
        <f t="shared" si="15"/>
        <v>94516.185691609251</v>
      </c>
      <c r="E103" s="166">
        <f t="shared" si="16"/>
        <v>44.7136178241187</v>
      </c>
      <c r="G103" s="165">
        <v>38.5</v>
      </c>
      <c r="H103" s="166">
        <f t="shared" si="17"/>
        <v>153.13163918669292</v>
      </c>
      <c r="I103" s="167">
        <f t="shared" si="20"/>
        <v>4.4713617824118701E-2</v>
      </c>
      <c r="J103" s="168">
        <f t="shared" si="18"/>
        <v>0.94612346905654254</v>
      </c>
      <c r="K103" s="165">
        <v>38.5</v>
      </c>
      <c r="L103" s="169"/>
      <c r="M103" s="170"/>
    </row>
    <row r="104" spans="1:13" x14ac:dyDescent="0.4">
      <c r="A104" s="165">
        <v>39</v>
      </c>
      <c r="B104" s="166">
        <f t="shared" si="14"/>
        <v>38.9</v>
      </c>
      <c r="C104" s="166">
        <f t="shared" si="19"/>
        <v>6994.3737385836848</v>
      </c>
      <c r="D104" s="166">
        <f t="shared" si="15"/>
        <v>94330.626261416313</v>
      </c>
      <c r="E104" s="166">
        <f t="shared" si="16"/>
        <v>46.022544278646585</v>
      </c>
      <c r="G104" s="165">
        <v>39</v>
      </c>
      <c r="H104" s="166">
        <f t="shared" si="17"/>
        <v>157.02744056750441</v>
      </c>
      <c r="I104" s="167">
        <f t="shared" si="20"/>
        <v>4.6022544278646584E-2</v>
      </c>
      <c r="J104" s="168">
        <f t="shared" si="18"/>
        <v>0.94949425207794602</v>
      </c>
      <c r="K104" s="165">
        <v>39</v>
      </c>
      <c r="L104" s="169"/>
      <c r="M104" s="170"/>
    </row>
    <row r="105" spans="1:13" x14ac:dyDescent="0.4">
      <c r="A105" s="165">
        <v>39.5</v>
      </c>
      <c r="B105" s="166">
        <f t="shared" si="14"/>
        <v>39.4</v>
      </c>
      <c r="C105" s="166">
        <f t="shared" si="19"/>
        <v>7184.2922786229947</v>
      </c>
      <c r="D105" s="166">
        <f t="shared" si="15"/>
        <v>94140.70772137701</v>
      </c>
      <c r="E105" s="166">
        <f t="shared" si="16"/>
        <v>47.367562927974092</v>
      </c>
      <c r="G105" s="165">
        <v>39.5</v>
      </c>
      <c r="H105" s="166">
        <f t="shared" si="17"/>
        <v>161.0181442249029</v>
      </c>
      <c r="I105" s="167">
        <f t="shared" si="20"/>
        <v>4.7367562927974088E-2</v>
      </c>
      <c r="J105" s="168">
        <f t="shared" si="18"/>
        <v>0.95292212355654771</v>
      </c>
      <c r="K105" s="165">
        <v>39.5</v>
      </c>
      <c r="L105" s="169"/>
      <c r="M105" s="170"/>
    </row>
    <row r="106" spans="1:13" x14ac:dyDescent="0.4">
      <c r="A106" s="165">
        <v>40</v>
      </c>
      <c r="B106" s="166">
        <f t="shared" si="14"/>
        <v>39.9</v>
      </c>
      <c r="C106" s="166">
        <f t="shared" si="19"/>
        <v>7378.6547726408189</v>
      </c>
      <c r="D106" s="166">
        <f t="shared" si="15"/>
        <v>93946.345227359183</v>
      </c>
      <c r="E106" s="166">
        <f t="shared" si="16"/>
        <v>48.749684464925451</v>
      </c>
      <c r="G106" s="165">
        <v>40</v>
      </c>
      <c r="H106" s="166">
        <f t="shared" si="17"/>
        <v>165.10644153603198</v>
      </c>
      <c r="I106" s="167">
        <f t="shared" si="20"/>
        <v>4.8749684464925454E-2</v>
      </c>
      <c r="J106" s="168">
        <f t="shared" si="18"/>
        <v>0.95640876373279526</v>
      </c>
      <c r="K106" s="165">
        <v>40</v>
      </c>
      <c r="L106" s="169"/>
      <c r="M106" s="170"/>
    </row>
    <row r="107" spans="1:13" x14ac:dyDescent="0.4">
      <c r="A107" s="165">
        <v>40.5</v>
      </c>
      <c r="B107" s="166">
        <f t="shared" si="14"/>
        <v>40.4</v>
      </c>
      <c r="C107" s="166">
        <f t="shared" si="19"/>
        <v>7577.5473372381693</v>
      </c>
      <c r="D107" s="166">
        <f t="shared" si="15"/>
        <v>93747.452662761832</v>
      </c>
      <c r="E107" s="166">
        <f t="shared" si="16"/>
        <v>50.169952464972297</v>
      </c>
      <c r="G107" s="165">
        <v>40.5</v>
      </c>
      <c r="H107" s="166">
        <f t="shared" si="17"/>
        <v>169.2951119610691</v>
      </c>
      <c r="I107" s="167">
        <f t="shared" si="20"/>
        <v>5.0169952464972301E-2</v>
      </c>
      <c r="J107" s="168">
        <f t="shared" si="18"/>
        <v>0.959955908767126</v>
      </c>
      <c r="K107" s="165">
        <v>40.5</v>
      </c>
      <c r="L107" s="169"/>
      <c r="M107" s="170"/>
    </row>
    <row r="108" spans="1:13" x14ac:dyDescent="0.4">
      <c r="A108" s="165">
        <v>41</v>
      </c>
      <c r="B108" s="166">
        <f t="shared" si="14"/>
        <v>40.9</v>
      </c>
      <c r="C108" s="166">
        <f t="shared" si="19"/>
        <v>7781.0573737902514</v>
      </c>
      <c r="D108" s="166">
        <f t="shared" si="15"/>
        <v>93543.942626209755</v>
      </c>
      <c r="E108" s="166">
        <f t="shared" si="16"/>
        <v>51.629444757457165</v>
      </c>
      <c r="G108" s="165">
        <v>41</v>
      </c>
      <c r="H108" s="166">
        <f t="shared" si="17"/>
        <v>173.58702671370077</v>
      </c>
      <c r="I108" s="167">
        <f t="shared" si="20"/>
        <v>5.1629444757457163E-2</v>
      </c>
      <c r="J108" s="168">
        <f t="shared" si="18"/>
        <v>0.96356535306550706</v>
      </c>
      <c r="K108" s="165">
        <v>41</v>
      </c>
      <c r="L108" s="169"/>
      <c r="M108" s="170"/>
    </row>
    <row r="109" spans="1:13" x14ac:dyDescent="0.4">
      <c r="A109" s="165">
        <v>41.5</v>
      </c>
      <c r="B109" s="166">
        <f t="shared" si="14"/>
        <v>41.4</v>
      </c>
      <c r="C109" s="166">
        <f t="shared" si="19"/>
        <v>7989.273580774382</v>
      </c>
      <c r="D109" s="166">
        <f t="shared" si="15"/>
        <v>93335.726419225612</v>
      </c>
      <c r="E109" s="166">
        <f t="shared" si="16"/>
        <v>53.129274867972569</v>
      </c>
      <c r="G109" s="165">
        <v>41.5</v>
      </c>
      <c r="H109" s="166">
        <f t="shared" si="17"/>
        <v>177.98515262184699</v>
      </c>
      <c r="I109" s="167">
        <f t="shared" si="20"/>
        <v>5.3129274867972566E-2</v>
      </c>
      <c r="J109" s="168">
        <f t="shared" si="18"/>
        <v>0.96723895172512375</v>
      </c>
      <c r="K109" s="165">
        <v>41.5</v>
      </c>
      <c r="L109" s="169"/>
      <c r="M109" s="170"/>
    </row>
    <row r="110" spans="1:13" x14ac:dyDescent="0.4">
      <c r="A110" s="165">
        <v>42</v>
      </c>
      <c r="B110" s="166">
        <f t="shared" si="14"/>
        <v>41.9</v>
      </c>
      <c r="C110" s="166">
        <f t="shared" si="19"/>
        <v>8202.2859661193343</v>
      </c>
      <c r="D110" s="166">
        <f t="shared" si="15"/>
        <v>93122.714033880664</v>
      </c>
      <c r="E110" s="166">
        <f t="shared" si="16"/>
        <v>54.670593536222142</v>
      </c>
      <c r="G110" s="165">
        <v>42</v>
      </c>
      <c r="H110" s="166">
        <f t="shared" si="17"/>
        <v>182.49255619020454</v>
      </c>
      <c r="I110" s="167">
        <f t="shared" si="20"/>
        <v>5.467059353622214E-2</v>
      </c>
      <c r="J110" s="168">
        <f t="shared" si="18"/>
        <v>0.97097862310752703</v>
      </c>
      <c r="K110" s="165">
        <v>42</v>
      </c>
      <c r="L110" s="169"/>
      <c r="M110" s="170"/>
    </row>
    <row r="111" spans="1:13" x14ac:dyDescent="0.4">
      <c r="A111" s="165">
        <v>42.5</v>
      </c>
      <c r="B111" s="166">
        <f t="shared" si="14"/>
        <v>42.4</v>
      </c>
      <c r="C111" s="166">
        <f t="shared" si="19"/>
        <v>8420.1858595751073</v>
      </c>
      <c r="D111" s="166">
        <f t="shared" si="15"/>
        <v>92904.814140424889</v>
      </c>
      <c r="E111" s="166">
        <f t="shared" si="16"/>
        <v>56.254590313993454</v>
      </c>
      <c r="G111" s="165">
        <v>42.5</v>
      </c>
      <c r="H111" s="166">
        <f t="shared" si="17"/>
        <v>187.11240787698978</v>
      </c>
      <c r="I111" s="167">
        <f t="shared" si="20"/>
        <v>5.6254590313993456E-2</v>
      </c>
      <c r="J111" s="168">
        <f t="shared" si="18"/>
        <v>0.9747863515470615</v>
      </c>
      <c r="K111" s="165">
        <v>42.5</v>
      </c>
      <c r="L111" s="169"/>
      <c r="M111" s="170"/>
    </row>
    <row r="112" spans="1:13" x14ac:dyDescent="0.4">
      <c r="A112" s="165">
        <v>43</v>
      </c>
      <c r="B112" s="166">
        <f t="shared" si="14"/>
        <v>42.9</v>
      </c>
      <c r="C112" s="166">
        <f t="shared" si="19"/>
        <v>8643.0659251019806</v>
      </c>
      <c r="D112" s="166">
        <f t="shared" si="15"/>
        <v>92681.934074898018</v>
      </c>
      <c r="E112" s="166">
        <f t="shared" si="16"/>
        <v>57.88249524819696</v>
      </c>
      <c r="G112" s="165">
        <v>43</v>
      </c>
      <c r="H112" s="166">
        <f t="shared" si="17"/>
        <v>191.84798659813009</v>
      </c>
      <c r="I112" s="167">
        <f t="shared" si="20"/>
        <v>5.7882495248196962E-2</v>
      </c>
      <c r="J112" s="168">
        <f t="shared" si="18"/>
        <v>0.97866419020294715</v>
      </c>
      <c r="K112" s="165">
        <v>43</v>
      </c>
      <c r="L112" s="169"/>
      <c r="M112" s="170"/>
    </row>
    <row r="113" spans="1:13" x14ac:dyDescent="0.4">
      <c r="A113" s="165">
        <v>43.5</v>
      </c>
      <c r="B113" s="166">
        <f t="shared" si="14"/>
        <v>43.4</v>
      </c>
      <c r="C113" s="166">
        <f t="shared" si="19"/>
        <v>8871.0201732777332</v>
      </c>
      <c r="D113" s="166">
        <f t="shared" si="15"/>
        <v>92453.979826722265</v>
      </c>
      <c r="E113" s="166">
        <f t="shared" si="16"/>
        <v>59.555580654277286</v>
      </c>
      <c r="G113" s="165">
        <v>43.5</v>
      </c>
      <c r="H113" s="166">
        <f t="shared" si="17"/>
        <v>196.70268447309439</v>
      </c>
      <c r="I113" s="167">
        <f t="shared" si="20"/>
        <v>5.9555580654277289E-2</v>
      </c>
      <c r="J113" s="168">
        <f t="shared" si="18"/>
        <v>0.98261426406397823</v>
      </c>
      <c r="K113" s="165">
        <v>43.5</v>
      </c>
      <c r="L113" s="169"/>
      <c r="M113" s="170"/>
    </row>
    <row r="114" spans="1:13" x14ac:dyDescent="0.4">
      <c r="A114" s="165">
        <v>44</v>
      </c>
      <c r="B114" s="166">
        <f t="shared" si="14"/>
        <v>43.9</v>
      </c>
      <c r="C114" s="166">
        <f t="shared" si="19"/>
        <v>9104.1439737219407</v>
      </c>
      <c r="D114" s="166">
        <f t="shared" si="15"/>
        <v>92220.856026278052</v>
      </c>
      <c r="E114" s="166">
        <f t="shared" si="16"/>
        <v>61.275162985683941</v>
      </c>
      <c r="G114" s="165">
        <v>44</v>
      </c>
      <c r="H114" s="166">
        <f t="shared" si="17"/>
        <v>201.68001182757172</v>
      </c>
      <c r="I114" s="167">
        <f t="shared" si="20"/>
        <v>6.1275162985683938E-2</v>
      </c>
      <c r="J114" s="168">
        <f t="shared" si="18"/>
        <v>0.98663877311545733</v>
      </c>
      <c r="K114" s="165">
        <v>44</v>
      </c>
      <c r="L114" s="169"/>
      <c r="M114" s="170"/>
    </row>
    <row r="115" spans="1:13" x14ac:dyDescent="0.4">
      <c r="A115" s="165">
        <v>44.5</v>
      </c>
      <c r="B115" s="166">
        <f t="shared" si="14"/>
        <v>44.4</v>
      </c>
      <c r="C115" s="166">
        <f t="shared" si="19"/>
        <v>9342.5340675363059</v>
      </c>
      <c r="D115" s="166">
        <f t="shared" si="15"/>
        <v>91982.465932463689</v>
      </c>
      <c r="E115" s="166">
        <f t="shared" si="16"/>
        <v>63.0426048054996</v>
      </c>
      <c r="G115" s="165">
        <v>44.5</v>
      </c>
      <c r="H115" s="166">
        <f t="shared" si="17"/>
        <v>206.78360246930561</v>
      </c>
      <c r="I115" s="167">
        <f t="shared" si="20"/>
        <v>6.30426048054996E-2</v>
      </c>
      <c r="J115" s="168">
        <f t="shared" si="18"/>
        <v>0.99073999567866167</v>
      </c>
      <c r="K115" s="165">
        <v>44.5</v>
      </c>
      <c r="L115" s="169"/>
      <c r="M115" s="170"/>
    </row>
    <row r="116" spans="1:13" x14ac:dyDescent="0.4">
      <c r="A116" s="165">
        <v>45</v>
      </c>
      <c r="B116" s="166">
        <f t="shared" si="14"/>
        <v>44.9</v>
      </c>
      <c r="C116" s="166">
        <f t="shared" si="19"/>
        <v>9586.2885797597028</v>
      </c>
      <c r="D116" s="166">
        <f t="shared" si="15"/>
        <v>91738.711420240303</v>
      </c>
      <c r="E116" s="166">
        <f t="shared" si="16"/>
        <v>64.859316866767401</v>
      </c>
      <c r="G116" s="165">
        <v>45</v>
      </c>
      <c r="H116" s="166">
        <f t="shared" si="17"/>
        <v>212.01721925457903</v>
      </c>
      <c r="I116" s="167">
        <f t="shared" si="20"/>
        <v>6.4859316866767394E-2</v>
      </c>
      <c r="J116" s="168">
        <f t="shared" si="18"/>
        <v>0.99492029193390286</v>
      </c>
      <c r="K116" s="165">
        <v>45</v>
      </c>
      <c r="L116" s="169"/>
      <c r="M116" s="170"/>
    </row>
    <row r="117" spans="1:13" x14ac:dyDescent="0.4">
      <c r="A117" s="165">
        <v>45.5</v>
      </c>
      <c r="B117" s="166">
        <f t="shared" si="14"/>
        <v>45.4</v>
      </c>
      <c r="C117" s="166">
        <f t="shared" si="19"/>
        <v>9835.5070318371127</v>
      </c>
      <c r="D117" s="166">
        <f t="shared" si="15"/>
        <v>91489.492968162886</v>
      </c>
      <c r="E117" s="166">
        <f t="shared" si="16"/>
        <v>66.726760308544016</v>
      </c>
      <c r="G117" s="165">
        <v>45.5</v>
      </c>
      <c r="H117" s="166">
        <f t="shared" si="17"/>
        <v>217.38475996414181</v>
      </c>
      <c r="I117" s="167">
        <f t="shared" si="20"/>
        <v>6.672676030854402E-2</v>
      </c>
      <c r="J117" s="168">
        <f t="shared" si="18"/>
        <v>0.99918210763905457</v>
      </c>
      <c r="K117" s="165">
        <v>45.5</v>
      </c>
      <c r="L117" s="169"/>
      <c r="M117" s="170"/>
    </row>
    <row r="118" spans="1:13" x14ac:dyDescent="0.4">
      <c r="A118" s="165">
        <v>46</v>
      </c>
      <c r="B118" s="166">
        <f t="shared" si="14"/>
        <v>45.9</v>
      </c>
      <c r="C118" s="166">
        <f t="shared" si="19"/>
        <v>10090.290354101055</v>
      </c>
      <c r="D118" s="166">
        <f t="shared" si="15"/>
        <v>91234.70964589894</v>
      </c>
      <c r="E118" s="166">
        <f t="shared" si="16"/>
        <v>68.646448975223322</v>
      </c>
      <c r="G118" s="165">
        <v>46</v>
      </c>
      <c r="H118" s="166">
        <f t="shared" si="17"/>
        <v>222.8902635087577</v>
      </c>
      <c r="I118" s="167">
        <f t="shared" si="20"/>
        <v>6.8646448975223318E-2</v>
      </c>
      <c r="J118" s="168">
        <f t="shared" si="18"/>
        <v>1.0035279780562985</v>
      </c>
      <c r="K118" s="165">
        <v>46</v>
      </c>
      <c r="L118" s="169"/>
      <c r="M118" s="170"/>
    </row>
    <row r="119" spans="1:13" x14ac:dyDescent="0.4">
      <c r="A119" s="165">
        <v>46.5</v>
      </c>
      <c r="B119" s="166">
        <f t="shared" si="14"/>
        <v>46.4</v>
      </c>
      <c r="C119" s="166">
        <f t="shared" si="19"/>
        <v>10350.740898264583</v>
      </c>
      <c r="D119" s="166">
        <f t="shared" si="15"/>
        <v>90974.259101735413</v>
      </c>
      <c r="E119" s="166">
        <f t="shared" si="16"/>
        <v>70.619951867245163</v>
      </c>
      <c r="G119" s="165">
        <v>46.5</v>
      </c>
      <c r="H119" s="166">
        <f t="shared" si="17"/>
        <v>228.5379164860733</v>
      </c>
      <c r="I119" s="167">
        <f t="shared" si="20"/>
        <v>7.0619951867245165E-2</v>
      </c>
      <c r="J119" s="168">
        <f t="shared" si="18"/>
        <v>1.0079605321008069</v>
      </c>
      <c r="K119" s="165">
        <v>46.5</v>
      </c>
      <c r="L119" s="169"/>
      <c r="M119" s="170"/>
    </row>
    <row r="120" spans="1:13" x14ac:dyDescent="0.4">
      <c r="A120" s="165">
        <v>47</v>
      </c>
      <c r="B120" s="166">
        <f t="shared" si="14"/>
        <v>46.9</v>
      </c>
      <c r="C120" s="166">
        <f t="shared" si="19"/>
        <v>10616.962449924635</v>
      </c>
      <c r="D120" s="166">
        <f t="shared" si="15"/>
        <v>90708.037550075358</v>
      </c>
      <c r="E120" s="166">
        <f t="shared" si="16"/>
        <v>72.648895731916468</v>
      </c>
      <c r="G120" s="165">
        <v>47</v>
      </c>
      <c r="H120" s="166">
        <f t="shared" si="17"/>
        <v>234.33206011214838</v>
      </c>
      <c r="I120" s="167">
        <f t="shared" si="20"/>
        <v>7.2648895731916463E-2</v>
      </c>
      <c r="J120" s="168">
        <f t="shared" si="18"/>
        <v>1.0124824967261086</v>
      </c>
      <c r="K120" s="165">
        <v>47</v>
      </c>
      <c r="L120" s="169"/>
      <c r="M120" s="170"/>
    </row>
    <row r="121" spans="1:13" x14ac:dyDescent="0.4">
      <c r="A121" s="165">
        <v>47.5</v>
      </c>
      <c r="B121" s="166">
        <f t="shared" si="14"/>
        <v>47.4</v>
      </c>
      <c r="C121" s="166">
        <f t="shared" si="19"/>
        <v>10889.060241074585</v>
      </c>
      <c r="D121" s="166">
        <f t="shared" si="15"/>
        <v>90435.939758925408</v>
      </c>
      <c r="E121" s="166">
        <f t="shared" si="16"/>
        <v>74.734967803739607</v>
      </c>
      <c r="G121" s="165">
        <v>47.5</v>
      </c>
      <c r="H121" s="166">
        <f t="shared" si="17"/>
        <v>240.27719755277434</v>
      </c>
      <c r="I121" s="167">
        <f t="shared" si="20"/>
        <v>7.4734967803739602E-2</v>
      </c>
      <c r="J121" s="168">
        <f t="shared" si="18"/>
        <v>1.0170967015620218</v>
      </c>
      <c r="K121" s="165">
        <v>47.5</v>
      </c>
      <c r="L121" s="169"/>
      <c r="M121" s="170"/>
    </row>
    <row r="122" spans="1:13" x14ac:dyDescent="0.4">
      <c r="A122" s="165">
        <v>48</v>
      </c>
      <c r="B122" s="166">
        <f t="shared" si="14"/>
        <v>47.9</v>
      </c>
      <c r="C122" s="166">
        <f t="shared" si="19"/>
        <v>11167.14096262497</v>
      </c>
      <c r="D122" s="166">
        <f t="shared" si="15"/>
        <v>90157.859037375034</v>
      </c>
      <c r="E122" s="166">
        <f t="shared" si="16"/>
        <v>76.879918704369842</v>
      </c>
      <c r="G122" s="165">
        <v>48</v>
      </c>
      <c r="H122" s="166">
        <f t="shared" si="17"/>
        <v>246.37800168165012</v>
      </c>
      <c r="I122" s="167">
        <f t="shared" si="20"/>
        <v>7.6879918704369846E-2</v>
      </c>
      <c r="J122" s="168">
        <f t="shared" si="18"/>
        <v>1.0218060838222618</v>
      </c>
      <c r="K122" s="165">
        <v>48</v>
      </c>
      <c r="L122" s="169"/>
      <c r="M122" s="170"/>
    </row>
    <row r="123" spans="1:13" x14ac:dyDescent="0.4">
      <c r="A123" s="165">
        <v>48.5</v>
      </c>
      <c r="B123" s="166">
        <f t="shared" si="14"/>
        <v>48.4</v>
      </c>
      <c r="C123" s="166">
        <f t="shared" si="19"/>
        <v>11451.312776931138</v>
      </c>
      <c r="D123" s="166">
        <f t="shared" si="15"/>
        <v>89873.68722306886</v>
      </c>
      <c r="E123" s="166">
        <f t="shared" si="16"/>
        <v>79.085565513110822</v>
      </c>
      <c r="G123" s="165">
        <v>48.5</v>
      </c>
      <c r="H123" s="166">
        <f t="shared" si="17"/>
        <v>252.63932329459206</v>
      </c>
      <c r="I123" s="167">
        <f t="shared" si="20"/>
        <v>7.9085565513110828E-2</v>
      </c>
      <c r="J123" s="168">
        <f t="shared" si="18"/>
        <v>1.0266136935001609</v>
      </c>
      <c r="K123" s="165">
        <v>48.5</v>
      </c>
      <c r="L123" s="169"/>
      <c r="M123" s="170"/>
    </row>
    <row r="124" spans="1:13" x14ac:dyDescent="0.4">
      <c r="A124" s="165">
        <v>49</v>
      </c>
      <c r="B124" s="166">
        <f t="shared" si="14"/>
        <v>48.9</v>
      </c>
      <c r="C124" s="166">
        <f t="shared" si="19"/>
        <v>11741.685330326769</v>
      </c>
      <c r="D124" s="166">
        <f t="shared" si="15"/>
        <v>89583.314669673229</v>
      </c>
      <c r="E124" s="166">
        <f t="shared" si="16"/>
        <v>81.35379501971822</v>
      </c>
      <c r="G124" s="165">
        <v>49</v>
      </c>
      <c r="H124" s="166">
        <f t="shared" si="17"/>
        <v>259.06619981125561</v>
      </c>
      <c r="I124" s="167">
        <f t="shared" si="20"/>
        <v>8.135379501971822E-2</v>
      </c>
      <c r="J124" s="168">
        <f t="shared" si="18"/>
        <v>1.0315226988723996</v>
      </c>
      <c r="K124" s="165">
        <v>49</v>
      </c>
      <c r="L124" s="169"/>
      <c r="M124" s="170"/>
    </row>
    <row r="125" spans="1:13" x14ac:dyDescent="0.4">
      <c r="A125" s="165">
        <v>49.5</v>
      </c>
      <c r="B125" s="166">
        <f t="shared" si="14"/>
        <v>49.4</v>
      </c>
      <c r="C125" s="166">
        <f t="shared" si="19"/>
        <v>12038.369765662128</v>
      </c>
      <c r="D125" s="166">
        <f t="shared" si="15"/>
        <v>89286.630234337877</v>
      </c>
      <c r="E125" s="166">
        <f t="shared" si="16"/>
        <v>83.686567172217224</v>
      </c>
      <c r="G125" s="165">
        <v>49.5</v>
      </c>
      <c r="H125" s="166">
        <f t="shared" si="17"/>
        <v>265.66386449835079</v>
      </c>
      <c r="I125" s="167">
        <f t="shared" si="20"/>
        <v>8.368656717221723E-2</v>
      </c>
      <c r="J125" s="168">
        <f t="shared" si="18"/>
        <v>1.0365363923322259</v>
      </c>
      <c r="K125" s="165">
        <v>49.5</v>
      </c>
      <c r="L125" s="169"/>
      <c r="M125" s="170"/>
    </row>
    <row r="126" spans="1:13" x14ac:dyDescent="0.4">
      <c r="A126" s="165">
        <v>50</v>
      </c>
      <c r="B126" s="166">
        <f t="shared" si="14"/>
        <v>49.9</v>
      </c>
      <c r="C126" s="166">
        <f t="shared" si="19"/>
        <v>12341.478734845845</v>
      </c>
      <c r="D126" s="166">
        <f t="shared" si="15"/>
        <v>88983.521265154151</v>
      </c>
      <c r="E126" s="166">
        <f t="shared" si="16"/>
        <v>86.085918733459721</v>
      </c>
      <c r="G126" s="165">
        <v>50</v>
      </c>
      <c r="H126" s="166">
        <f t="shared" si="17"/>
        <v>272.43775625105951</v>
      </c>
      <c r="I126" s="167">
        <f t="shared" si="20"/>
        <v>8.6085918733459721E-2</v>
      </c>
      <c r="J126" s="168">
        <f t="shared" si="18"/>
        <v>1.0416581965753622</v>
      </c>
      <c r="K126" s="165">
        <v>50</v>
      </c>
      <c r="L126" s="169"/>
      <c r="M126" s="170"/>
    </row>
    <row r="127" spans="1:13" x14ac:dyDescent="0.4">
      <c r="A127" s="165">
        <v>50.5</v>
      </c>
      <c r="B127" s="166">
        <f t="shared" si="14"/>
        <v>50.4</v>
      </c>
      <c r="C127" s="166">
        <f t="shared" si="19"/>
        <v>12651.126411389183</v>
      </c>
      <c r="D127" s="166">
        <f t="shared" si="15"/>
        <v>88673.873588610819</v>
      </c>
      <c r="E127" s="166">
        <f t="shared" si="16"/>
        <v>88.553967161262335</v>
      </c>
      <c r="G127" s="165">
        <v>50.5</v>
      </c>
      <c r="H127" s="166">
        <f t="shared" si="17"/>
        <v>279.39352997234965</v>
      </c>
      <c r="I127" s="167">
        <f t="shared" si="20"/>
        <v>8.8553967161262334E-2</v>
      </c>
      <c r="J127" s="168">
        <f t="shared" si="18"/>
        <v>1.0468916711636895</v>
      </c>
      <c r="K127" s="165">
        <v>50.5</v>
      </c>
      <c r="L127" s="169"/>
      <c r="M127" s="170"/>
    </row>
    <row r="128" spans="1:13" x14ac:dyDescent="0.4">
      <c r="A128" s="165">
        <v>51</v>
      </c>
      <c r="B128" s="166">
        <f t="shared" si="14"/>
        <v>50.9</v>
      </c>
      <c r="C128" s="166">
        <f t="shared" si="19"/>
        <v>12967.428502951529</v>
      </c>
      <c r="D128" s="166">
        <f t="shared" si="15"/>
        <v>88357.57149704847</v>
      </c>
      <c r="E128" s="166">
        <f t="shared" si="16"/>
        <v>91.092914728182393</v>
      </c>
      <c r="G128" s="165">
        <v>51</v>
      </c>
      <c r="H128" s="166">
        <f t="shared" si="17"/>
        <v>286.53706759312769</v>
      </c>
      <c r="I128" s="167">
        <f t="shared" si="20"/>
        <v>9.1092914728182386E-2</v>
      </c>
      <c r="J128" s="168">
        <f t="shared" si="18"/>
        <v>1.0522405194938531</v>
      </c>
      <c r="K128" s="165">
        <v>51</v>
      </c>
      <c r="L128" s="169"/>
      <c r="M128" s="170"/>
    </row>
    <row r="129" spans="1:13" x14ac:dyDescent="0.4">
      <c r="A129" s="165">
        <v>51.5</v>
      </c>
      <c r="B129" s="166">
        <f t="shared" si="14"/>
        <v>51.4</v>
      </c>
      <c r="C129" s="166">
        <f t="shared" si="19"/>
        <v>13290.502263886183</v>
      </c>
      <c r="D129" s="166">
        <f t="shared" si="15"/>
        <v>88034.497736113815</v>
      </c>
      <c r="E129" s="166">
        <f t="shared" si="16"/>
        <v>93.705052898321384</v>
      </c>
      <c r="G129" s="165">
        <v>51.5</v>
      </c>
      <c r="H129" s="166">
        <f t="shared" si="17"/>
        <v>293.87448977974077</v>
      </c>
      <c r="I129" s="167">
        <f t="shared" si="20"/>
        <v>9.3705052898321387E-2</v>
      </c>
      <c r="J129" s="168">
        <f t="shared" si="18"/>
        <v>1.0577085962001851</v>
      </c>
      <c r="K129" s="165">
        <v>51.5</v>
      </c>
      <c r="L129" s="169"/>
      <c r="M129" s="170"/>
    </row>
    <row r="130" spans="1:13" x14ac:dyDescent="0.4">
      <c r="A130" s="165">
        <v>52</v>
      </c>
      <c r="B130" s="166">
        <f t="shared" si="14"/>
        <v>51.9</v>
      </c>
      <c r="C130" s="166">
        <f t="shared" si="19"/>
        <v>13620.466507785004</v>
      </c>
      <c r="D130" s="166">
        <f t="shared" si="15"/>
        <v>87704.533492214992</v>
      </c>
      <c r="E130" s="166">
        <f t="shared" si="16"/>
        <v>96.392766979997731</v>
      </c>
      <c r="G130" s="165">
        <v>52</v>
      </c>
      <c r="H130" s="166">
        <f t="shared" si="17"/>
        <v>301.41216837921894</v>
      </c>
      <c r="I130" s="167">
        <f t="shared" si="20"/>
        <v>9.6392766979997727E-2</v>
      </c>
      <c r="J130" s="168">
        <f t="shared" si="18"/>
        <v>1.0632999150237932</v>
      </c>
      <c r="K130" s="165">
        <v>52</v>
      </c>
      <c r="L130" s="169"/>
      <c r="M130" s="170"/>
    </row>
    <row r="131" spans="1:13" x14ac:dyDescent="0.4">
      <c r="A131" s="165">
        <v>52.5</v>
      </c>
      <c r="B131" s="166">
        <f t="shared" si="14"/>
        <v>52.4</v>
      </c>
      <c r="C131" s="166">
        <f t="shared" si="19"/>
        <v>13957.44162002106</v>
      </c>
      <c r="D131" s="166">
        <f t="shared" si="15"/>
        <v>87367.558379978946</v>
      </c>
      <c r="E131" s="166">
        <f t="shared" si="16"/>
        <v>99.15854107472947</v>
      </c>
      <c r="G131" s="165">
        <v>52.5</v>
      </c>
      <c r="H131" s="166">
        <f t="shared" si="17"/>
        <v>309.15673965692798</v>
      </c>
      <c r="I131" s="167">
        <f t="shared" si="20"/>
        <v>9.9158541074729475E-2</v>
      </c>
      <c r="J131" s="168">
        <f t="shared" si="18"/>
        <v>1.0690186571823745</v>
      </c>
      <c r="K131" s="165">
        <v>52.5</v>
      </c>
      <c r="L131" s="169"/>
      <c r="M131" s="170"/>
    </row>
    <row r="132" spans="1:13" x14ac:dyDescent="0.4">
      <c r="A132" s="165">
        <v>53</v>
      </c>
      <c r="B132" s="166">
        <f t="shared" si="14"/>
        <v>52.9</v>
      </c>
      <c r="C132" s="166">
        <f t="shared" si="19"/>
        <v>14301.549570287951</v>
      </c>
      <c r="D132" s="166">
        <f t="shared" si="15"/>
        <v>87023.450429712044</v>
      </c>
      <c r="E132" s="166">
        <f t="shared" si="16"/>
        <v>102.00496334471283</v>
      </c>
      <c r="G132" s="165">
        <v>53</v>
      </c>
      <c r="H132" s="166">
        <f t="shared" si="17"/>
        <v>317.115118385968</v>
      </c>
      <c r="I132" s="167">
        <f t="shared" si="20"/>
        <v>0.10200496334471283</v>
      </c>
      <c r="J132" s="168">
        <f t="shared" si="18"/>
        <v>1.0748691802782537</v>
      </c>
      <c r="K132" s="165">
        <v>53</v>
      </c>
      <c r="L132" s="169"/>
      <c r="M132" s="170"/>
    </row>
    <row r="133" spans="1:13" x14ac:dyDescent="0.4">
      <c r="A133" s="165">
        <v>53.5</v>
      </c>
      <c r="B133" s="166">
        <f t="shared" si="14"/>
        <v>53.4</v>
      </c>
      <c r="C133" s="166">
        <f t="shared" si="19"/>
        <v>14652.913925134784</v>
      </c>
      <c r="D133" s="166">
        <f t="shared" si="15"/>
        <v>86672.086074865219</v>
      </c>
      <c r="E133" s="166">
        <f t="shared" si="16"/>
        <v>104.93473162290115</v>
      </c>
      <c r="G133" s="165">
        <v>53.5</v>
      </c>
      <c r="H133" s="166">
        <f t="shared" si="17"/>
        <v>325.29451285278657</v>
      </c>
      <c r="I133" s="167">
        <f t="shared" si="20"/>
        <v>0.10493473162290115</v>
      </c>
      <c r="J133" s="168">
        <f t="shared" si="18"/>
        <v>1.0808560277854002</v>
      </c>
      <c r="K133" s="165">
        <v>53.5</v>
      </c>
      <c r="L133" s="169"/>
      <c r="M133" s="170"/>
    </row>
    <row r="134" spans="1:13" x14ac:dyDescent="0.4">
      <c r="A134" s="165">
        <v>54</v>
      </c>
      <c r="B134" s="166">
        <f t="shared" si="14"/>
        <v>53.9</v>
      </c>
      <c r="C134" s="166">
        <f t="shared" si="19"/>
        <v>15011.659860495558</v>
      </c>
      <c r="D134" s="166">
        <f t="shared" si="15"/>
        <v>86313.340139504435</v>
      </c>
      <c r="E134" s="166">
        <f t="shared" si="16"/>
        <v>107.95065939189654</v>
      </c>
      <c r="G134" s="165">
        <v>54</v>
      </c>
      <c r="H134" s="166">
        <f t="shared" si="17"/>
        <v>333.70244084911201</v>
      </c>
      <c r="I134" s="167">
        <f t="shared" si="20"/>
        <v>0.10795065939189653</v>
      </c>
      <c r="J134" s="168">
        <f t="shared" si="18"/>
        <v>1.0869839391597305</v>
      </c>
      <c r="K134" s="165">
        <v>54</v>
      </c>
      <c r="L134" s="169"/>
      <c r="M134" s="170"/>
    </row>
    <row r="135" spans="1:13" x14ac:dyDescent="0.4">
      <c r="A135" s="165">
        <v>54.5</v>
      </c>
      <c r="B135" s="166">
        <f t="shared" si="14"/>
        <v>54.4</v>
      </c>
      <c r="C135" s="166">
        <f t="shared" si="19"/>
        <v>15377.914174211912</v>
      </c>
      <c r="D135" s="166">
        <f t="shared" si="15"/>
        <v>85947.08582578809</v>
      </c>
      <c r="E135" s="166">
        <f t="shared" si="16"/>
        <v>111.05568216018153</v>
      </c>
      <c r="G135" s="165">
        <v>54.5</v>
      </c>
      <c r="H135" s="166">
        <f t="shared" si="17"/>
        <v>342.34674672650368</v>
      </c>
      <c r="I135" s="167">
        <f t="shared" si="20"/>
        <v>0.11105568216018154</v>
      </c>
      <c r="J135" s="168">
        <f t="shared" si="18"/>
        <v>1.0932578606209231</v>
      </c>
      <c r="K135" s="165">
        <v>54.5</v>
      </c>
      <c r="L135" s="169"/>
      <c r="M135" s="170"/>
    </row>
    <row r="136" spans="1:13" x14ac:dyDescent="0.4">
      <c r="A136" s="165">
        <v>55</v>
      </c>
      <c r="B136" s="166">
        <f t="shared" si="14"/>
        <v>54.9</v>
      </c>
      <c r="C136" s="166">
        <f t="shared" si="19"/>
        <v>15751.805298548024</v>
      </c>
      <c r="D136" s="166">
        <f t="shared" si="15"/>
        <v>85573.194701451983</v>
      </c>
      <c r="E136" s="166">
        <f t="shared" si="16"/>
        <v>114.25286426676882</v>
      </c>
      <c r="G136" s="165">
        <v>55</v>
      </c>
      <c r="H136" s="166">
        <f t="shared" si="17"/>
        <v>351.235619596638</v>
      </c>
      <c r="I136" s="167">
        <f t="shared" si="20"/>
        <v>0.11425286426676882</v>
      </c>
      <c r="J136" s="168">
        <f t="shared" si="18"/>
        <v>1.0996829566582882</v>
      </c>
      <c r="K136" s="165">
        <v>55</v>
      </c>
      <c r="L136" s="169"/>
      <c r="M136" s="170"/>
    </row>
    <row r="137" spans="1:13" x14ac:dyDescent="0.4">
      <c r="A137" s="165">
        <v>55.5</v>
      </c>
      <c r="B137" s="166">
        <f t="shared" si="14"/>
        <v>55.4</v>
      </c>
      <c r="C137" s="166">
        <f t="shared" si="19"/>
        <v>16133.463312696596</v>
      </c>
      <c r="D137" s="166">
        <f t="shared" si="15"/>
        <v>85191.536687303407</v>
      </c>
      <c r="E137" s="166">
        <f t="shared" si="16"/>
        <v>117.54540614815399</v>
      </c>
      <c r="G137" s="165">
        <v>55.5</v>
      </c>
      <c r="H137" s="166">
        <f t="shared" si="17"/>
        <v>360.37761276795732</v>
      </c>
      <c r="I137" s="167">
        <f t="shared" si="20"/>
        <v>0.11754540614815398</v>
      </c>
      <c r="J137" s="168">
        <f t="shared" si="18"/>
        <v>1.1062646223179675</v>
      </c>
      <c r="K137" s="165">
        <v>55.5</v>
      </c>
      <c r="L137" s="169"/>
      <c r="M137" s="170"/>
    </row>
    <row r="138" spans="1:13" x14ac:dyDescent="0.4">
      <c r="A138" s="165">
        <v>56</v>
      </c>
      <c r="B138" s="166">
        <f t="shared" si="14"/>
        <v>55.9</v>
      </c>
      <c r="C138" s="166">
        <f t="shared" si="19"/>
        <v>16523.019955274685</v>
      </c>
      <c r="D138" s="166">
        <f t="shared" si="15"/>
        <v>84801.980044725322</v>
      </c>
      <c r="E138" s="166">
        <f t="shared" si="16"/>
        <v>120.93665210455495</v>
      </c>
      <c r="G138" s="165">
        <v>56</v>
      </c>
      <c r="H138" s="166">
        <f t="shared" si="17"/>
        <v>369.78166451759569</v>
      </c>
      <c r="I138" s="167">
        <f t="shared" si="20"/>
        <v>0.12093665210455495</v>
      </c>
      <c r="J138" s="168">
        <f t="shared" si="18"/>
        <v>1.1130084963339915</v>
      </c>
      <c r="K138" s="165">
        <v>56</v>
      </c>
      <c r="L138" s="169"/>
      <c r="M138" s="170"/>
    </row>
    <row r="139" spans="1:13" x14ac:dyDescent="0.4">
      <c r="A139" s="165">
        <v>56.5</v>
      </c>
      <c r="B139" s="166">
        <f t="shared" si="14"/>
        <v>56.4</v>
      </c>
      <c r="C139" s="166">
        <f t="shared" si="19"/>
        <v>16920.608636808378</v>
      </c>
      <c r="D139" s="166">
        <f t="shared" si="15"/>
        <v>84404.391363191622</v>
      </c>
      <c r="E139" s="166">
        <f t="shared" si="16"/>
        <v>124.43009860584137</v>
      </c>
      <c r="G139" s="165">
        <v>56.5</v>
      </c>
      <c r="H139" s="166">
        <f t="shared" si="17"/>
        <v>379.45712030663992</v>
      </c>
      <c r="I139" s="167">
        <f t="shared" si="20"/>
        <v>0.12443009860584137</v>
      </c>
      <c r="J139" s="168">
        <f t="shared" si="18"/>
        <v>1.1199204751714935</v>
      </c>
      <c r="K139" s="165">
        <v>56.5</v>
      </c>
      <c r="L139" s="169"/>
      <c r="M139" s="170"/>
    </row>
    <row r="140" spans="1:13" x14ac:dyDescent="0.4">
      <c r="A140" s="165">
        <v>57</v>
      </c>
      <c r="B140" s="166">
        <f t="shared" si="14"/>
        <v>56.9</v>
      </c>
      <c r="C140" s="166">
        <f t="shared" si="19"/>
        <v>17326.364452205096</v>
      </c>
      <c r="D140" s="166">
        <f t="shared" si="15"/>
        <v>83998.635547794896</v>
      </c>
      <c r="E140" s="166">
        <f t="shared" si="16"/>
        <v>128.02940318133619</v>
      </c>
      <c r="G140" s="165">
        <v>57</v>
      </c>
      <c r="H140" s="166">
        <f t="shared" si="17"/>
        <v>389.41375655689507</v>
      </c>
      <c r="I140" s="167">
        <f t="shared" si="20"/>
        <v>0.12802940318133618</v>
      </c>
      <c r="J140" s="168">
        <f t="shared" si="18"/>
        <v>1.1270067280567737</v>
      </c>
      <c r="K140" s="165">
        <v>57</v>
      </c>
      <c r="L140" s="169"/>
      <c r="M140" s="170"/>
    </row>
    <row r="141" spans="1:13" x14ac:dyDescent="0.4">
      <c r="A141" s="165">
        <v>57.5</v>
      </c>
      <c r="B141" s="166">
        <f t="shared" si="14"/>
        <v>57.4</v>
      </c>
      <c r="C141" s="166">
        <f t="shared" si="19"/>
        <v>17740.424193212282</v>
      </c>
      <c r="D141" s="166">
        <f t="shared" si="15"/>
        <v>83584.575806787718</v>
      </c>
      <c r="E141" s="166">
        <f t="shared" si="16"/>
        <v>131.73839394185302</v>
      </c>
      <c r="G141" s="165">
        <v>57.5</v>
      </c>
      <c r="H141" s="166">
        <f t="shared" si="17"/>
        <v>399.6618061185028</v>
      </c>
      <c r="I141" s="167">
        <f t="shared" si="20"/>
        <v>0.13173839394185302</v>
      </c>
      <c r="J141" s="168">
        <f t="shared" si="18"/>
        <v>1.1342737130759728</v>
      </c>
      <c r="K141" s="165">
        <v>57.5</v>
      </c>
      <c r="L141" s="169"/>
      <c r="M141" s="170"/>
    </row>
    <row r="142" spans="1:13" x14ac:dyDescent="0.4">
      <c r="A142" s="165">
        <v>58</v>
      </c>
      <c r="B142" s="166">
        <f t="shared" si="14"/>
        <v>57.9</v>
      </c>
      <c r="C142" s="166">
        <f t="shared" si="19"/>
        <v>18162.92636086166</v>
      </c>
      <c r="D142" s="166">
        <f t="shared" si="15"/>
        <v>83162.07363913834</v>
      </c>
      <c r="E142" s="166">
        <f t="shared" si="16"/>
        <v>135.56107978697074</v>
      </c>
      <c r="G142" s="165">
        <v>58</v>
      </c>
      <c r="H142" s="166">
        <f t="shared" si="17"/>
        <v>410.21198557016749</v>
      </c>
      <c r="I142" s="167">
        <f t="shared" si="20"/>
        <v>0.13556107978697074</v>
      </c>
      <c r="J142" s="168">
        <f t="shared" si="18"/>
        <v>1.1417281944319535</v>
      </c>
      <c r="K142" s="165">
        <v>58</v>
      </c>
      <c r="L142" s="169"/>
      <c r="M142" s="170"/>
    </row>
    <row r="143" spans="1:13" x14ac:dyDescent="0.4">
      <c r="A143" s="165">
        <v>58.5</v>
      </c>
      <c r="B143" s="166">
        <f t="shared" si="14"/>
        <v>58.4</v>
      </c>
      <c r="C143" s="166">
        <f t="shared" si="19"/>
        <v>18594.011177897592</v>
      </c>
      <c r="D143" s="166">
        <f t="shared" si="15"/>
        <v>82730.988822102401</v>
      </c>
      <c r="E143" s="166">
        <f t="shared" si="16"/>
        <v>139.50166135567744</v>
      </c>
      <c r="G143" s="165">
        <v>58.5</v>
      </c>
      <c r="H143" s="166">
        <f t="shared" si="17"/>
        <v>421.07552450746721</v>
      </c>
      <c r="I143" s="167">
        <f t="shared" si="20"/>
        <v>0.13950166135567743</v>
      </c>
      <c r="J143" s="168">
        <f t="shared" si="18"/>
        <v>1.1493772609576656</v>
      </c>
      <c r="K143" s="165">
        <v>58.5</v>
      </c>
      <c r="L143" s="169"/>
      <c r="M143" s="170"/>
    </row>
    <row r="144" spans="1:13" x14ac:dyDescent="0.4">
      <c r="A144" s="165">
        <v>59</v>
      </c>
      <c r="B144" s="166">
        <f t="shared" si="14"/>
        <v>58.9</v>
      </c>
      <c r="C144" s="166">
        <f t="shared" si="19"/>
        <v>19033.820601188585</v>
      </c>
      <c r="D144" s="166">
        <f t="shared" si="15"/>
        <v>82291.179398811422</v>
      </c>
      <c r="E144" s="166">
        <f t="shared" si="16"/>
        <v>143.56454278422902</v>
      </c>
      <c r="G144" s="165">
        <v>59</v>
      </c>
      <c r="H144" s="166">
        <f t="shared" si="17"/>
        <v>432.26419699000428</v>
      </c>
      <c r="I144" s="167">
        <f t="shared" si="20"/>
        <v>0.14356454278422903</v>
      </c>
      <c r="J144" s="168">
        <f t="shared" si="18"/>
        <v>1.1572283459939283</v>
      </c>
      <c r="K144" s="165">
        <v>59</v>
      </c>
      <c r="L144" s="169"/>
      <c r="M144" s="170"/>
    </row>
    <row r="145" spans="1:13" x14ac:dyDescent="0.4">
      <c r="A145" s="165">
        <v>59.5</v>
      </c>
      <c r="B145" s="166">
        <f t="shared" si="14"/>
        <v>59.4</v>
      </c>
      <c r="C145" s="166">
        <f t="shared" si="19"/>
        <v>19482.498334120854</v>
      </c>
      <c r="D145" s="166">
        <f t="shared" si="15"/>
        <v>81842.501665879143</v>
      </c>
      <c r="E145" s="166">
        <f t="shared" si="16"/>
        <v>147.7543443414084</v>
      </c>
      <c r="G145" s="165">
        <v>59.5</v>
      </c>
      <c r="H145" s="166">
        <f t="shared" si="17"/>
        <v>443.79035533511262</v>
      </c>
      <c r="I145" s="167">
        <f t="shared" si="20"/>
        <v>0.14775434434140841</v>
      </c>
      <c r="J145" s="168">
        <f t="shared" si="18"/>
        <v>1.1652892487502775</v>
      </c>
      <c r="K145" s="165">
        <v>59.5</v>
      </c>
      <c r="L145" s="169"/>
      <c r="M145" s="170"/>
    </row>
    <row r="146" spans="1:13" x14ac:dyDescent="0.4">
      <c r="A146" s="165">
        <v>60</v>
      </c>
      <c r="B146" s="166">
        <f t="shared" si="14"/>
        <v>59.9</v>
      </c>
      <c r="C146" s="166">
        <f t="shared" si="19"/>
        <v>19940.189838972648</v>
      </c>
      <c r="D146" s="166">
        <f t="shared" si="15"/>
        <v>81384.810161027359</v>
      </c>
      <c r="E146" s="166">
        <f t="shared" si="16"/>
        <v>152.07591601843171</v>
      </c>
      <c r="G146" s="165">
        <v>60</v>
      </c>
      <c r="H146" s="166">
        <f t="shared" si="17"/>
        <v>455.66696646471877</v>
      </c>
      <c r="I146" s="167">
        <f t="shared" si="20"/>
        <v>0.15207591601843171</v>
      </c>
      <c r="J146" s="168">
        <f t="shared" si="18"/>
        <v>1.1735681572794665</v>
      </c>
      <c r="K146" s="165">
        <v>60</v>
      </c>
      <c r="L146" s="169"/>
      <c r="M146" s="170"/>
    </row>
    <row r="147" spans="1:13" x14ac:dyDescent="0.4">
      <c r="A147" s="165">
        <v>60.5</v>
      </c>
      <c r="B147" s="166">
        <f t="shared" si="14"/>
        <v>60.4</v>
      </c>
      <c r="C147" s="166">
        <f t="shared" si="19"/>
        <v>20407.042349268399</v>
      </c>
      <c r="D147" s="166">
        <f t="shared" si="15"/>
        <v>80917.957650731609</v>
      </c>
      <c r="E147" s="166">
        <f t="shared" si="16"/>
        <v>156.53435215862405</v>
      </c>
      <c r="G147" s="165">
        <v>60.5</v>
      </c>
      <c r="H147" s="166">
        <f t="shared" si="17"/>
        <v>467.90765103301987</v>
      </c>
      <c r="I147" s="167">
        <f t="shared" si="20"/>
        <v>0.15653435215862405</v>
      </c>
      <c r="J147" s="168">
        <f t="shared" si="18"/>
        <v>1.1820736732095267</v>
      </c>
      <c r="K147" s="165">
        <v>60.5</v>
      </c>
      <c r="L147" s="169"/>
      <c r="M147" s="170"/>
    </row>
    <row r="148" spans="1:13" x14ac:dyDescent="0.4">
      <c r="A148" s="165">
        <v>61</v>
      </c>
      <c r="B148" s="166">
        <f t="shared" si="14"/>
        <v>60.9</v>
      </c>
      <c r="C148" s="166">
        <f t="shared" si="19"/>
        <v>20883.204882111491</v>
      </c>
      <c r="D148" s="166">
        <f t="shared" si="15"/>
        <v>80441.795117888512</v>
      </c>
      <c r="E148" s="166">
        <f t="shared" si="16"/>
        <v>161.13500722076981</v>
      </c>
      <c r="G148" s="165">
        <v>61</v>
      </c>
      <c r="H148" s="166">
        <f t="shared" si="17"/>
        <v>480.52672558613239</v>
      </c>
      <c r="I148" s="167">
        <f t="shared" si="20"/>
        <v>0.16113500722076982</v>
      </c>
      <c r="J148" s="168">
        <f t="shared" si="18"/>
        <v>1.1908148383921295</v>
      </c>
      <c r="K148" s="165">
        <v>61</v>
      </c>
      <c r="L148" s="169"/>
      <c r="M148" s="170"/>
    </row>
    <row r="149" spans="1:13" x14ac:dyDescent="0.4">
      <c r="A149" s="165">
        <v>61.5</v>
      </c>
      <c r="B149" s="166">
        <f t="shared" si="14"/>
        <v>61.4</v>
      </c>
      <c r="C149" s="166">
        <f t="shared" si="19"/>
        <v>21368.828250494556</v>
      </c>
      <c r="D149" s="166">
        <f t="shared" si="15"/>
        <v>79956.171749505447</v>
      </c>
      <c r="E149" s="166">
        <f t="shared" si="16"/>
        <v>165.88351277986294</v>
      </c>
      <c r="G149" s="165">
        <v>61.5</v>
      </c>
      <c r="H149" s="166">
        <f t="shared" si="17"/>
        <v>493.53924803112687</v>
      </c>
      <c r="I149" s="167">
        <f t="shared" si="20"/>
        <v>0.16588351277986293</v>
      </c>
      <c r="J149" s="168">
        <f t="shared" si="18"/>
        <v>1.1998011636426054</v>
      </c>
      <c r="K149" s="165">
        <v>61.5</v>
      </c>
      <c r="L149" s="169"/>
      <c r="M149" s="170"/>
    </row>
    <row r="150" spans="1:13" x14ac:dyDescent="0.4">
      <c r="A150" s="165">
        <v>62</v>
      </c>
      <c r="B150" s="166">
        <f t="shared" si="14"/>
        <v>61.9</v>
      </c>
      <c r="C150" s="166">
        <f t="shared" si="19"/>
        <v>21864.065075586092</v>
      </c>
      <c r="D150" s="166">
        <f t="shared" si="15"/>
        <v>79460.934924413916</v>
      </c>
      <c r="E150" s="166">
        <f t="shared" si="16"/>
        <v>170.78579587997268</v>
      </c>
      <c r="G150" s="165">
        <v>62</v>
      </c>
      <c r="H150" s="166">
        <f t="shared" si="17"/>
        <v>506.96106672126166</v>
      </c>
      <c r="I150" s="167">
        <f t="shared" si="20"/>
        <v>0.17078579587997267</v>
      </c>
      <c r="J150" s="168">
        <f t="shared" si="18"/>
        <v>1.2090426597655501</v>
      </c>
      <c r="K150" s="165">
        <v>62</v>
      </c>
      <c r="L150" s="169"/>
      <c r="M150" s="170"/>
    </row>
    <row r="151" spans="1:13" x14ac:dyDescent="0.4">
      <c r="A151" s="165">
        <v>62.5</v>
      </c>
      <c r="B151" s="166">
        <f t="shared" si="14"/>
        <v>62.4</v>
      </c>
      <c r="C151" s="166">
        <f t="shared" si="19"/>
        <v>22369.069798992532</v>
      </c>
      <c r="D151" s="166">
        <f t="shared" si="15"/>
        <v>78955.930201007461</v>
      </c>
      <c r="E151" s="166">
        <f t="shared" si="16"/>
        <v>175.84809886626059</v>
      </c>
      <c r="G151" s="165">
        <v>62.5</v>
      </c>
      <c r="H151" s="166">
        <f t="shared" si="17"/>
        <v>520.80887349717568</v>
      </c>
      <c r="I151" s="167">
        <f t="shared" si="20"/>
        <v>0.1758480988662606</v>
      </c>
      <c r="J151" s="168">
        <f t="shared" si="18"/>
        <v>1.2185498710807721</v>
      </c>
      <c r="K151" s="165">
        <v>62.5</v>
      </c>
      <c r="L151" s="169"/>
      <c r="M151" s="170"/>
    </row>
    <row r="152" spans="1:13" x14ac:dyDescent="0.4">
      <c r="A152" s="165">
        <v>63</v>
      </c>
      <c r="B152" s="166">
        <f t="shared" si="14"/>
        <v>62.9</v>
      </c>
      <c r="C152" s="166">
        <f t="shared" si="19"/>
        <v>22883.99869499437</v>
      </c>
      <c r="D152" s="166">
        <f t="shared" si="15"/>
        <v>78441.00130500563</v>
      </c>
      <c r="E152" s="166">
        <f t="shared" si="16"/>
        <v>181.07700083700513</v>
      </c>
      <c r="G152" s="165">
        <v>63</v>
      </c>
      <c r="H152" s="166">
        <f t="shared" si="17"/>
        <v>535.10026106076657</v>
      </c>
      <c r="I152" s="167">
        <f t="shared" si="20"/>
        <v>0.18107700083700512</v>
      </c>
      <c r="J152" s="168">
        <f t="shared" si="18"/>
        <v>1.2283339116877032</v>
      </c>
      <c r="K152" s="165">
        <v>63</v>
      </c>
      <c r="L152" s="169"/>
      <c r="M152" s="170"/>
    </row>
    <row r="153" spans="1:13" x14ac:dyDescent="0.4">
      <c r="A153" s="165">
        <v>63.5</v>
      </c>
      <c r="B153" s="166">
        <f t="shared" si="14"/>
        <v>63.4</v>
      </c>
      <c r="C153" s="166">
        <f t="shared" si="19"/>
        <v>23409.009882755399</v>
      </c>
      <c r="D153" s="166">
        <f t="shared" si="15"/>
        <v>77915.990117244597</v>
      </c>
      <c r="E153" s="166">
        <f t="shared" si="16"/>
        <v>186.47944087203882</v>
      </c>
      <c r="G153" s="165">
        <v>63.5</v>
      </c>
      <c r="H153" s="166">
        <f t="shared" si="17"/>
        <v>549.85378510006456</v>
      </c>
      <c r="I153" s="167">
        <f t="shared" si="20"/>
        <v>0.18647944087203883</v>
      </c>
      <c r="J153" s="168">
        <f t="shared" si="18"/>
        <v>1.2384065047326847</v>
      </c>
      <c r="K153" s="165">
        <v>63.5</v>
      </c>
      <c r="L153" s="169"/>
      <c r="M153" s="170"/>
    </row>
    <row r="154" spans="1:13" x14ac:dyDescent="0.4">
      <c r="A154" s="165">
        <v>64</v>
      </c>
      <c r="B154" s="166">
        <f t="shared" ref="B154:B217" si="21">A154-0.1</f>
        <v>63.9</v>
      </c>
      <c r="C154" s="166">
        <f t="shared" si="19"/>
        <v>23944.263338504061</v>
      </c>
      <c r="D154" s="166">
        <f t="shared" ref="D154:D217" si="22">$N$2-C154</f>
        <v>77380.736661495932</v>
      </c>
      <c r="E154" s="166">
        <f t="shared" ref="E154:E217" si="23">I154*1000</f>
        <v>192.06274321149945</v>
      </c>
      <c r="G154" s="165">
        <v>64</v>
      </c>
      <c r="H154" s="166">
        <f t="shared" ref="H154:H217" si="24">(((1.005+(1.88*(E154/1000)))*A154)+(2487*(E154/1000)))</f>
        <v>565.08903163020682</v>
      </c>
      <c r="I154" s="167">
        <f t="shared" si="20"/>
        <v>0.19206274321149946</v>
      </c>
      <c r="J154" s="168">
        <f t="shared" ref="J154:J217" si="25">((22.41/273)*(A154+273))*((1/28.96)+((1/18.1)*I154))</f>
        <v>1.2487800249731025</v>
      </c>
      <c r="K154" s="165">
        <v>64</v>
      </c>
      <c r="L154" s="169"/>
      <c r="M154" s="170"/>
    </row>
    <row r="155" spans="1:13" x14ac:dyDescent="0.4">
      <c r="A155" s="165">
        <v>64.5</v>
      </c>
      <c r="B155" s="166">
        <f t="shared" si="21"/>
        <v>64.400000000000006</v>
      </c>
      <c r="C155" s="166">
        <f t="shared" si="19"/>
        <v>24489.920907685515</v>
      </c>
      <c r="D155" s="166">
        <f t="shared" si="22"/>
        <v>76835.079092314481</v>
      </c>
      <c r="E155" s="166">
        <f t="shared" si="23"/>
        <v>197.83464457852654</v>
      </c>
      <c r="G155" s="165">
        <v>64.5</v>
      </c>
      <c r="H155" s="166">
        <f t="shared" si="24"/>
        <v>580.82669006838762</v>
      </c>
      <c r="I155" s="167">
        <f t="shared" si="20"/>
        <v>0.19783464457852654</v>
      </c>
      <c r="J155" s="168">
        <f t="shared" si="25"/>
        <v>1.2594675449657202</v>
      </c>
      <c r="K155" s="165">
        <v>64.5</v>
      </c>
      <c r="L155" s="169"/>
      <c r="M155" s="170"/>
    </row>
    <row r="156" spans="1:13" x14ac:dyDescent="0.4">
      <c r="A156" s="165">
        <v>65</v>
      </c>
      <c r="B156" s="166">
        <f t="shared" si="21"/>
        <v>64.900000000000006</v>
      </c>
      <c r="C156" s="166">
        <f t="shared" ref="C156:C219" si="26">611.14*EXP(17.269*(((273.16+A156)-273.16)/((273.16+A156)-35.86)))</f>
        <v>25046.146317083694</v>
      </c>
      <c r="D156" s="166">
        <f t="shared" si="22"/>
        <v>76278.853682916306</v>
      </c>
      <c r="E156" s="166">
        <f t="shared" si="23"/>
        <v>203.80332386182954</v>
      </c>
      <c r="G156" s="165">
        <v>65</v>
      </c>
      <c r="H156" s="166">
        <f t="shared" si="24"/>
        <v>597.08863262028558</v>
      </c>
      <c r="I156" s="167">
        <f t="shared" ref="I156:I219" si="27">(18/29)*(C156/($N$2-C156))</f>
        <v>0.20380332386182953</v>
      </c>
      <c r="J156" s="168">
        <f t="shared" si="25"/>
        <v>1.2704828852442349</v>
      </c>
      <c r="K156" s="165">
        <v>65</v>
      </c>
      <c r="L156" s="169"/>
      <c r="M156" s="170"/>
    </row>
    <row r="157" spans="1:13" x14ac:dyDescent="0.4">
      <c r="A157" s="165">
        <v>65.5</v>
      </c>
      <c r="B157" s="166">
        <f t="shared" si="21"/>
        <v>65.400000000000006</v>
      </c>
      <c r="C157" s="166">
        <f t="shared" si="26"/>
        <v>25613.105186911922</v>
      </c>
      <c r="D157" s="166">
        <f t="shared" si="22"/>
        <v>75711.894813088074</v>
      </c>
      <c r="E157" s="166">
        <f t="shared" si="23"/>
        <v>209.97743439926327</v>
      </c>
      <c r="G157" s="165">
        <v>65.5</v>
      </c>
      <c r="H157" s="166">
        <f t="shared" si="24"/>
        <v>613.89800062289305</v>
      </c>
      <c r="I157" s="167">
        <f t="shared" si="27"/>
        <v>0.20997743439926328</v>
      </c>
      <c r="J157" s="168">
        <f t="shared" si="25"/>
        <v>1.2818406688936952</v>
      </c>
      <c r="K157" s="165">
        <v>65.5</v>
      </c>
      <c r="L157" s="169"/>
      <c r="M157" s="170"/>
    </row>
    <row r="158" spans="1:13" x14ac:dyDescent="0.4">
      <c r="A158" s="165">
        <v>66</v>
      </c>
      <c r="B158" s="166">
        <f t="shared" si="21"/>
        <v>65.900000000000006</v>
      </c>
      <c r="C158" s="166">
        <f t="shared" si="26"/>
        <v>26190.965042871303</v>
      </c>
      <c r="D158" s="166">
        <f t="shared" si="22"/>
        <v>75134.034957128693</v>
      </c>
      <c r="E158" s="166">
        <f t="shared" si="23"/>
        <v>216.36613913213142</v>
      </c>
      <c r="G158" s="165">
        <v>66</v>
      </c>
      <c r="H158" s="166">
        <f t="shared" si="24"/>
        <v>631.27929856512571</v>
      </c>
      <c r="I158" s="167">
        <f t="shared" si="27"/>
        <v>0.21636613913213143</v>
      </c>
      <c r="J158" s="168">
        <f t="shared" si="25"/>
        <v>1.2935563809777613</v>
      </c>
      <c r="K158" s="165">
        <v>66</v>
      </c>
      <c r="L158" s="169"/>
      <c r="M158" s="170"/>
    </row>
    <row r="159" spans="1:13" x14ac:dyDescent="0.4">
      <c r="A159" s="165">
        <v>66.5</v>
      </c>
      <c r="B159" s="166">
        <f t="shared" si="21"/>
        <v>66.400000000000006</v>
      </c>
      <c r="C159" s="166">
        <f t="shared" si="26"/>
        <v>26779.895328175659</v>
      </c>
      <c r="D159" s="166">
        <f t="shared" si="22"/>
        <v>74545.104671824345</v>
      </c>
      <c r="E159" s="166">
        <f t="shared" si="23"/>
        <v>222.97914893238143</v>
      </c>
      <c r="G159" s="165">
        <v>66.5</v>
      </c>
      <c r="H159" s="166">
        <f t="shared" si="24"/>
        <v>649.25849659435892</v>
      </c>
      <c r="I159" s="167">
        <f t="shared" si="27"/>
        <v>0.22297914893238144</v>
      </c>
      <c r="J159" s="168">
        <f t="shared" si="25"/>
        <v>1.3056464333296096</v>
      </c>
      <c r="K159" s="165">
        <v>66.5</v>
      </c>
      <c r="L159" s="169"/>
      <c r="M159" s="170"/>
    </row>
    <row r="160" spans="1:13" x14ac:dyDescent="0.4">
      <c r="A160" s="165">
        <v>67</v>
      </c>
      <c r="B160" s="166">
        <f t="shared" si="21"/>
        <v>66.900000000000006</v>
      </c>
      <c r="C160" s="166">
        <f t="shared" si="26"/>
        <v>27380.067415541838</v>
      </c>
      <c r="D160" s="166">
        <f t="shared" si="22"/>
        <v>73944.932584458162</v>
      </c>
      <c r="E160" s="166">
        <f t="shared" si="23"/>
        <v>229.82676444176022</v>
      </c>
      <c r="G160" s="165">
        <v>67</v>
      </c>
      <c r="H160" s="166">
        <f t="shared" si="24"/>
        <v>667.86314241574189</v>
      </c>
      <c r="I160" s="167">
        <f t="shared" si="27"/>
        <v>0.22982676444176023</v>
      </c>
      <c r="J160" s="168">
        <f t="shared" si="25"/>
        <v>1.3181282352796932</v>
      </c>
      <c r="K160" s="165">
        <v>67</v>
      </c>
      <c r="L160" s="169"/>
      <c r="M160" s="170"/>
    </row>
    <row r="161" spans="1:13" x14ac:dyDescent="0.4">
      <c r="A161" s="165">
        <v>67.5</v>
      </c>
      <c r="B161" s="166">
        <f t="shared" si="21"/>
        <v>67.400000000000006</v>
      </c>
      <c r="C161" s="166">
        <f t="shared" si="26"/>
        <v>27991.65461914468</v>
      </c>
      <c r="D161" s="166">
        <f t="shared" si="22"/>
        <v>73333.345380855317</v>
      </c>
      <c r="E161" s="166">
        <f t="shared" si="23"/>
        <v>236.91992180405794</v>
      </c>
      <c r="G161" s="165">
        <v>67.5</v>
      </c>
      <c r="H161" s="166">
        <f t="shared" si="24"/>
        <v>687.12248360362707</v>
      </c>
      <c r="I161" s="167">
        <f t="shared" si="27"/>
        <v>0.23691992180405794</v>
      </c>
      <c r="J161" s="168">
        <f t="shared" si="25"/>
        <v>1.3310202709646559</v>
      </c>
      <c r="K161" s="165">
        <v>67.5</v>
      </c>
      <c r="L161" s="169"/>
      <c r="M161" s="170"/>
    </row>
    <row r="162" spans="1:13" x14ac:dyDescent="0.4">
      <c r="A162" s="165">
        <v>68</v>
      </c>
      <c r="B162" s="166">
        <f t="shared" si="21"/>
        <v>67.900000000000006</v>
      </c>
      <c r="C162" s="166">
        <f t="shared" si="26"/>
        <v>28614.832206535131</v>
      </c>
      <c r="D162" s="166">
        <f t="shared" si="22"/>
        <v>72710.167793464876</v>
      </c>
      <c r="E162" s="166">
        <f t="shared" si="23"/>
        <v>244.27024271957612</v>
      </c>
      <c r="G162" s="165">
        <v>68</v>
      </c>
      <c r="H162" s="166">
        <f t="shared" si="24"/>
        <v>707.0676014728565</v>
      </c>
      <c r="I162" s="167">
        <f t="shared" si="27"/>
        <v>0.24427024271957612</v>
      </c>
      <c r="J162" s="168">
        <f t="shared" si="25"/>
        <v>1.3443421839428662</v>
      </c>
      <c r="K162" s="165">
        <v>68</v>
      </c>
      <c r="L162" s="169"/>
      <c r="M162" s="170"/>
    </row>
    <row r="163" spans="1:13" x14ac:dyDescent="0.4">
      <c r="A163" s="165">
        <v>68.5</v>
      </c>
      <c r="B163" s="166">
        <f t="shared" si="21"/>
        <v>68.400000000000006</v>
      </c>
      <c r="C163" s="166">
        <f t="shared" si="26"/>
        <v>29249.777410520757</v>
      </c>
      <c r="D163" s="166">
        <f t="shared" si="22"/>
        <v>72075.222589479235</v>
      </c>
      <c r="E163" s="166">
        <f t="shared" si="23"/>
        <v>251.89008930589225</v>
      </c>
      <c r="G163" s="165">
        <v>68.5</v>
      </c>
      <c r="H163" s="166">
        <f t="shared" si="24"/>
        <v>727.73155780456682</v>
      </c>
      <c r="I163" s="167">
        <f t="shared" si="27"/>
        <v>0.25189008930589224</v>
      </c>
      <c r="J163" s="168">
        <f t="shared" si="25"/>
        <v>1.3581148699349026</v>
      </c>
      <c r="K163" s="165">
        <v>68.5</v>
      </c>
      <c r="L163" s="169"/>
      <c r="M163" s="170"/>
    </row>
    <row r="164" spans="1:13" x14ac:dyDescent="0.4">
      <c r="A164" s="165">
        <v>69</v>
      </c>
      <c r="B164" s="166">
        <f t="shared" si="21"/>
        <v>68.900000000000006</v>
      </c>
      <c r="C164" s="166">
        <f t="shared" si="26"/>
        <v>29896.669441007569</v>
      </c>
      <c r="D164" s="166">
        <f t="shared" si="22"/>
        <v>71428.330558992428</v>
      </c>
      <c r="E164" s="166">
        <f t="shared" si="23"/>
        <v>259.79262431195747</v>
      </c>
      <c r="G164" s="165">
        <v>69</v>
      </c>
      <c r="H164" s="166">
        <f t="shared" si="24"/>
        <v>749.14955588958549</v>
      </c>
      <c r="I164" s="167">
        <f t="shared" si="27"/>
        <v>0.25979262431195749</v>
      </c>
      <c r="J164" s="168">
        <f t="shared" si="25"/>
        <v>1.3723605786137638</v>
      </c>
      <c r="K164" s="165">
        <v>69</v>
      </c>
      <c r="L164" s="169"/>
      <c r="M164" s="170"/>
    </row>
    <row r="165" spans="1:13" x14ac:dyDescent="0.4">
      <c r="A165" s="165">
        <v>69.5</v>
      </c>
      <c r="B165" s="166">
        <f t="shared" si="21"/>
        <v>69.400000000000006</v>
      </c>
      <c r="C165" s="166">
        <f t="shared" si="26"/>
        <v>30555.689496801966</v>
      </c>
      <c r="D165" s="166">
        <f t="shared" si="22"/>
        <v>70769.310503198038</v>
      </c>
      <c r="E165" s="166">
        <f t="shared" si="23"/>
        <v>267.99187730489916</v>
      </c>
      <c r="G165" s="165">
        <v>69.5</v>
      </c>
      <c r="H165" s="166">
        <f t="shared" si="24"/>
        <v>771.35911754594235</v>
      </c>
      <c r="I165" s="167">
        <f t="shared" si="27"/>
        <v>0.26799187730489915</v>
      </c>
      <c r="J165" s="168">
        <f t="shared" si="25"/>
        <v>1.3871030254918659</v>
      </c>
      <c r="K165" s="165">
        <v>69.5</v>
      </c>
      <c r="L165" s="169"/>
      <c r="M165" s="170"/>
    </row>
    <row r="166" spans="1:13" x14ac:dyDescent="0.4">
      <c r="A166" s="165">
        <v>70</v>
      </c>
      <c r="B166" s="166">
        <f t="shared" si="21"/>
        <v>69.900000000000006</v>
      </c>
      <c r="C166" s="166">
        <f t="shared" si="26"/>
        <v>31227.020777371839</v>
      </c>
      <c r="D166" s="166">
        <f t="shared" si="22"/>
        <v>70097.979222628157</v>
      </c>
      <c r="E166" s="166">
        <f t="shared" si="23"/>
        <v>276.50281753217757</v>
      </c>
      <c r="G166" s="165">
        <v>70</v>
      </c>
      <c r="H166" s="166">
        <f t="shared" si="24"/>
        <v>794.4002779897603</v>
      </c>
      <c r="I166" s="167">
        <f t="shared" si="27"/>
        <v>0.27650281753217759</v>
      </c>
      <c r="J166" s="168">
        <f t="shared" si="25"/>
        <v>1.4023675150926604</v>
      </c>
      <c r="K166" s="165">
        <v>70</v>
      </c>
      <c r="L166" s="169"/>
      <c r="M166" s="170"/>
    </row>
    <row r="167" spans="1:13" x14ac:dyDescent="0.4">
      <c r="A167" s="165">
        <v>70.5</v>
      </c>
      <c r="B167" s="166">
        <f t="shared" si="21"/>
        <v>70.400000000000006</v>
      </c>
      <c r="C167" s="166">
        <f t="shared" si="26"/>
        <v>31910.848494565973</v>
      </c>
      <c r="D167" s="166">
        <f t="shared" si="22"/>
        <v>69414.151505434027</v>
      </c>
      <c r="E167" s="166">
        <f t="shared" si="23"/>
        <v>285.34143425783634</v>
      </c>
      <c r="G167" s="165">
        <v>70.5</v>
      </c>
      <c r="H167" s="166">
        <f t="shared" si="24"/>
        <v>818.31580069577262</v>
      </c>
      <c r="I167" s="167">
        <f t="shared" si="27"/>
        <v>0.28534143425783631</v>
      </c>
      <c r="J167" s="168">
        <f t="shared" si="25"/>
        <v>1.4181810767571634</v>
      </c>
      <c r="K167" s="165">
        <v>70.5</v>
      </c>
      <c r="L167" s="169"/>
      <c r="M167" s="170"/>
    </row>
    <row r="168" spans="1:13" x14ac:dyDescent="0.4">
      <c r="A168" s="165">
        <v>71</v>
      </c>
      <c r="B168" s="166">
        <f t="shared" si="21"/>
        <v>70.900000000000006</v>
      </c>
      <c r="C168" s="166">
        <f t="shared" si="26"/>
        <v>32607.359884290327</v>
      </c>
      <c r="D168" s="166">
        <f t="shared" si="22"/>
        <v>68717.64011570967</v>
      </c>
      <c r="E168" s="166">
        <f t="shared" si="23"/>
        <v>294.52482548270854</v>
      </c>
      <c r="G168" s="165">
        <v>71</v>
      </c>
      <c r="H168" s="166">
        <f t="shared" si="24"/>
        <v>843.15141468092793</v>
      </c>
      <c r="I168" s="167">
        <f t="shared" si="27"/>
        <v>0.29452482548270853</v>
      </c>
      <c r="J168" s="168">
        <f t="shared" si="25"/>
        <v>1.434572614623524</v>
      </c>
      <c r="K168" s="165">
        <v>71</v>
      </c>
      <c r="L168" s="169"/>
      <c r="M168" s="170"/>
    </row>
    <row r="169" spans="1:13" x14ac:dyDescent="0.4">
      <c r="A169" s="165">
        <v>71.5</v>
      </c>
      <c r="B169" s="166">
        <f t="shared" si="21"/>
        <v>71.400000000000006</v>
      </c>
      <c r="C169" s="166">
        <f t="shared" si="26"/>
        <v>33316.744218140528</v>
      </c>
      <c r="D169" s="166">
        <f t="shared" si="22"/>
        <v>68008.25578185948</v>
      </c>
      <c r="E169" s="166">
        <f t="shared" si="23"/>
        <v>304.07129608727837</v>
      </c>
      <c r="G169" s="165">
        <v>71.5</v>
      </c>
      <c r="H169" s="166">
        <f t="shared" si="24"/>
        <v>868.95607698911317</v>
      </c>
      <c r="I169" s="167">
        <f t="shared" si="27"/>
        <v>0.3040712960872784</v>
      </c>
      <c r="J169" s="168">
        <f t="shared" si="25"/>
        <v>1.4515730735355739</v>
      </c>
      <c r="K169" s="165">
        <v>71.5</v>
      </c>
      <c r="L169" s="169"/>
      <c r="M169" s="170"/>
    </row>
    <row r="170" spans="1:13" x14ac:dyDescent="0.4">
      <c r="A170" s="165">
        <v>72</v>
      </c>
      <c r="B170" s="166">
        <f t="shared" si="21"/>
        <v>71.900000000000006</v>
      </c>
      <c r="C170" s="166">
        <f t="shared" si="26"/>
        <v>34039.192814989488</v>
      </c>
      <c r="D170" s="166">
        <f t="shared" si="22"/>
        <v>67285.807185010519</v>
      </c>
      <c r="E170" s="166">
        <f t="shared" si="23"/>
        <v>314.00046658561655</v>
      </c>
      <c r="G170" s="165">
        <v>72</v>
      </c>
      <c r="H170" s="166">
        <f t="shared" si="24"/>
        <v>895.78226355545735</v>
      </c>
      <c r="I170" s="167">
        <f t="shared" si="27"/>
        <v>0.31400046658561653</v>
      </c>
      <c r="J170" s="168">
        <f t="shared" si="25"/>
        <v>1.4692156228893947</v>
      </c>
      <c r="K170" s="165">
        <v>72</v>
      </c>
      <c r="L170" s="169"/>
      <c r="M170" s="170"/>
    </row>
    <row r="171" spans="1:13" x14ac:dyDescent="0.4">
      <c r="A171" s="165">
        <v>72.5</v>
      </c>
      <c r="B171" s="166">
        <f t="shared" si="21"/>
        <v>72.400000000000006</v>
      </c>
      <c r="C171" s="166">
        <f t="shared" si="26"/>
        <v>34774.899052528795</v>
      </c>
      <c r="D171" s="166">
        <f t="shared" si="22"/>
        <v>66550.100947471205</v>
      </c>
      <c r="E171" s="166">
        <f t="shared" si="23"/>
        <v>324.33339385324803</v>
      </c>
      <c r="G171" s="165">
        <v>72.5</v>
      </c>
      <c r="H171" s="166">
        <f t="shared" si="24"/>
        <v>923.68629209522567</v>
      </c>
      <c r="I171" s="167">
        <f t="shared" si="27"/>
        <v>0.32433339385324805</v>
      </c>
      <c r="J171" s="168">
        <f t="shared" si="25"/>
        <v>1.4875358607218385</v>
      </c>
      <c r="K171" s="165">
        <v>72.5</v>
      </c>
      <c r="L171" s="169"/>
      <c r="M171" s="170"/>
    </row>
    <row r="172" spans="1:13" x14ac:dyDescent="0.4">
      <c r="A172" s="165">
        <v>73</v>
      </c>
      <c r="B172" s="166">
        <f t="shared" si="21"/>
        <v>72.900000000000006</v>
      </c>
      <c r="C172" s="166">
        <f t="shared" si="26"/>
        <v>35524.058378763562</v>
      </c>
      <c r="D172" s="166">
        <f t="shared" si="22"/>
        <v>65800.941621236445</v>
      </c>
      <c r="E172" s="166">
        <f t="shared" si="23"/>
        <v>335.09270539562124</v>
      </c>
      <c r="G172" s="165">
        <v>73</v>
      </c>
      <c r="H172" s="166">
        <f t="shared" si="24"/>
        <v>952.72868120740509</v>
      </c>
      <c r="I172" s="167">
        <f t="shared" si="27"/>
        <v>0.33509270539562125</v>
      </c>
      <c r="J172" s="168">
        <f t="shared" si="25"/>
        <v>1.5065720406894729</v>
      </c>
      <c r="K172" s="165">
        <v>73</v>
      </c>
      <c r="L172" s="169"/>
      <c r="M172" s="170"/>
    </row>
    <row r="173" spans="1:13" x14ac:dyDescent="0.4">
      <c r="A173" s="165">
        <v>73.5</v>
      </c>
      <c r="B173" s="166">
        <f t="shared" si="21"/>
        <v>73.400000000000006</v>
      </c>
      <c r="C173" s="166">
        <f t="shared" si="26"/>
        <v>36286.868323458897</v>
      </c>
      <c r="D173" s="166">
        <f t="shared" si="22"/>
        <v>65038.131676541103</v>
      </c>
      <c r="E173" s="166">
        <f t="shared" si="23"/>
        <v>346.30274896255003</v>
      </c>
      <c r="G173" s="165">
        <v>73.5</v>
      </c>
      <c r="H173" s="166">
        <f t="shared" si="24"/>
        <v>982.97455052150701</v>
      </c>
      <c r="I173" s="167">
        <f t="shared" si="27"/>
        <v>0.34630274896255003</v>
      </c>
      <c r="J173" s="168">
        <f t="shared" si="25"/>
        <v>1.5263653249899589</v>
      </c>
      <c r="K173" s="165">
        <v>73.5</v>
      </c>
      <c r="L173" s="169"/>
      <c r="M173" s="170"/>
    </row>
    <row r="174" spans="1:13" x14ac:dyDescent="0.4">
      <c r="A174" s="165">
        <v>74</v>
      </c>
      <c r="B174" s="166">
        <f t="shared" si="21"/>
        <v>73.900000000000006</v>
      </c>
      <c r="C174" s="166">
        <f t="shared" si="26"/>
        <v>37063.52850953782</v>
      </c>
      <c r="D174" s="166">
        <f t="shared" si="22"/>
        <v>64261.47149046218</v>
      </c>
      <c r="E174" s="166">
        <f t="shared" si="23"/>
        <v>357.98975959447796</v>
      </c>
      <c r="G174" s="165">
        <v>74</v>
      </c>
      <c r="H174" s="166">
        <f t="shared" si="24"/>
        <v>1014.4940674662505</v>
      </c>
      <c r="I174" s="167">
        <f t="shared" si="27"/>
        <v>0.35798975959447799</v>
      </c>
      <c r="J174" s="168">
        <f t="shared" si="25"/>
        <v>1.5469600667520189</v>
      </c>
      <c r="K174" s="165">
        <v>74</v>
      </c>
      <c r="L174" s="169"/>
      <c r="M174" s="170"/>
    </row>
    <row r="175" spans="1:13" x14ac:dyDescent="0.4">
      <c r="A175" s="165">
        <v>74.5</v>
      </c>
      <c r="B175" s="166">
        <f t="shared" si="21"/>
        <v>74.400000000000006</v>
      </c>
      <c r="C175" s="166">
        <f t="shared" si="26"/>
        <v>37854.240664428813</v>
      </c>
      <c r="D175" s="166">
        <f t="shared" si="22"/>
        <v>63470.759335571187</v>
      </c>
      <c r="E175" s="166">
        <f t="shared" si="23"/>
        <v>370.18204651681339</v>
      </c>
      <c r="G175" s="165">
        <v>74.5</v>
      </c>
      <c r="H175" s="166">
        <f t="shared" si="24"/>
        <v>1047.3629471224597</v>
      </c>
      <c r="I175" s="167">
        <f t="shared" si="27"/>
        <v>0.37018204651681341</v>
      </c>
      <c r="J175" s="168">
        <f t="shared" si="25"/>
        <v>1.5684041259786943</v>
      </c>
      <c r="K175" s="165">
        <v>74.5</v>
      </c>
      <c r="L175" s="169"/>
      <c r="M175" s="170"/>
    </row>
    <row r="176" spans="1:13" x14ac:dyDescent="0.4">
      <c r="A176" s="165">
        <v>75</v>
      </c>
      <c r="B176" s="166">
        <f t="shared" si="21"/>
        <v>74.900000000000006</v>
      </c>
      <c r="C176" s="166">
        <f t="shared" si="26"/>
        <v>38659.208631362992</v>
      </c>
      <c r="D176" s="166">
        <f t="shared" si="22"/>
        <v>62665.791368637008</v>
      </c>
      <c r="E176" s="166">
        <f t="shared" si="23"/>
        <v>382.91020268912314</v>
      </c>
      <c r="G176" s="165">
        <v>75</v>
      </c>
      <c r="H176" s="166">
        <f t="shared" si="24"/>
        <v>1081.6630126670157</v>
      </c>
      <c r="I176" s="167">
        <f t="shared" si="27"/>
        <v>0.38291020268912312</v>
      </c>
      <c r="J176" s="168">
        <f t="shared" si="25"/>
        <v>1.590749223788803</v>
      </c>
      <c r="K176" s="165">
        <v>75</v>
      </c>
      <c r="L176" s="169"/>
      <c r="M176" s="170"/>
    </row>
    <row r="177" spans="1:13" x14ac:dyDescent="0.4">
      <c r="A177" s="165">
        <v>75.5</v>
      </c>
      <c r="B177" s="166">
        <f t="shared" si="21"/>
        <v>75.400000000000006</v>
      </c>
      <c r="C177" s="166">
        <f t="shared" si="26"/>
        <v>39478.638380618773</v>
      </c>
      <c r="D177" s="166">
        <f t="shared" si="22"/>
        <v>61846.361619381227</v>
      </c>
      <c r="E177" s="166">
        <f t="shared" si="23"/>
        <v>396.20734027890978</v>
      </c>
      <c r="G177" s="165">
        <v>75.5</v>
      </c>
      <c r="H177" s="166">
        <f t="shared" si="24"/>
        <v>1117.482825152837</v>
      </c>
      <c r="I177" s="167">
        <f t="shared" si="27"/>
        <v>0.3962073402789098</v>
      </c>
      <c r="J177" s="168">
        <f t="shared" si="25"/>
        <v>1.6140513404841146</v>
      </c>
      <c r="K177" s="165">
        <v>75.5</v>
      </c>
      <c r="L177" s="169"/>
      <c r="M177" s="170"/>
    </row>
    <row r="178" spans="1:13" x14ac:dyDescent="0.4">
      <c r="A178" s="165">
        <v>76</v>
      </c>
      <c r="B178" s="166">
        <f t="shared" si="21"/>
        <v>75.900000000000006</v>
      </c>
      <c r="C178" s="166">
        <f t="shared" si="26"/>
        <v>40312.7380207143</v>
      </c>
      <c r="D178" s="166">
        <f t="shared" si="22"/>
        <v>61012.2619792857</v>
      </c>
      <c r="E178" s="166">
        <f t="shared" si="23"/>
        <v>410.10935588043174</v>
      </c>
      <c r="G178" s="165">
        <v>76</v>
      </c>
      <c r="H178" s="166">
        <f t="shared" si="24"/>
        <v>1154.9183928428297</v>
      </c>
      <c r="I178" s="167">
        <f t="shared" si="27"/>
        <v>0.41010935588043174</v>
      </c>
      <c r="J178" s="168">
        <f t="shared" si="25"/>
        <v>1.6383711639007723</v>
      </c>
      <c r="K178" s="165">
        <v>76</v>
      </c>
      <c r="L178" s="169"/>
      <c r="M178" s="170"/>
    </row>
    <row r="179" spans="1:13" x14ac:dyDescent="0.4">
      <c r="A179" s="165">
        <v>76.5</v>
      </c>
      <c r="B179" s="166">
        <f t="shared" si="21"/>
        <v>76.400000000000006</v>
      </c>
      <c r="C179" s="166">
        <f t="shared" si="26"/>
        <v>41161.717809545567</v>
      </c>
      <c r="D179" s="166">
        <f t="shared" si="22"/>
        <v>60163.282190454433</v>
      </c>
      <c r="E179" s="166">
        <f t="shared" si="23"/>
        <v>424.65522995626418</v>
      </c>
      <c r="G179" s="165">
        <v>76.5</v>
      </c>
      <c r="H179" s="166">
        <f t="shared" si="24"/>
        <v>1194.0739720735392</v>
      </c>
      <c r="I179" s="167">
        <f t="shared" si="27"/>
        <v>0.4246552299562642</v>
      </c>
      <c r="J179" s="168">
        <f t="shared" si="25"/>
        <v>1.6637745956145749</v>
      </c>
      <c r="K179" s="165">
        <v>76.5</v>
      </c>
      <c r="L179" s="169"/>
      <c r="M179" s="170"/>
    </row>
    <row r="180" spans="1:13" x14ac:dyDescent="0.4">
      <c r="A180" s="165">
        <v>77</v>
      </c>
      <c r="B180" s="166">
        <f t="shared" si="21"/>
        <v>76.900000000000006</v>
      </c>
      <c r="C180" s="166">
        <f t="shared" si="26"/>
        <v>42025.790165470047</v>
      </c>
      <c r="D180" s="166">
        <f t="shared" si="22"/>
        <v>59299.209834529953</v>
      </c>
      <c r="E180" s="166">
        <f t="shared" si="23"/>
        <v>439.88736576662666</v>
      </c>
      <c r="G180" s="165">
        <v>77</v>
      </c>
      <c r="H180" s="166">
        <f t="shared" si="24"/>
        <v>1235.0629737299776</v>
      </c>
      <c r="I180" s="167">
        <f t="shared" si="27"/>
        <v>0.43988736576662668</v>
      </c>
      <c r="J180" s="168">
        <f t="shared" si="25"/>
        <v>1.6903333239007017</v>
      </c>
      <c r="K180" s="165">
        <v>77</v>
      </c>
      <c r="L180" s="169"/>
      <c r="M180" s="170"/>
    </row>
    <row r="181" spans="1:13" x14ac:dyDescent="0.4">
      <c r="A181" s="165">
        <v>77.5</v>
      </c>
      <c r="B181" s="166">
        <f t="shared" si="21"/>
        <v>77.400000000000006</v>
      </c>
      <c r="C181" s="166">
        <f t="shared" si="26"/>
        <v>42905.169678334678</v>
      </c>
      <c r="D181" s="166">
        <f t="shared" si="22"/>
        <v>58419.830321665322</v>
      </c>
      <c r="E181" s="166">
        <f t="shared" si="23"/>
        <v>455.85197399800177</v>
      </c>
      <c r="G181" s="165">
        <v>77.5</v>
      </c>
      <c r="H181" s="166">
        <f t="shared" si="24"/>
        <v>1278.008991944539</v>
      </c>
      <c r="I181" s="167">
        <f t="shared" si="27"/>
        <v>0.45585197399800176</v>
      </c>
      <c r="J181" s="168">
        <f t="shared" si="25"/>
        <v>1.718125473948551</v>
      </c>
      <c r="K181" s="165">
        <v>77.5</v>
      </c>
      <c r="L181" s="169"/>
      <c r="M181" s="170"/>
    </row>
    <row r="182" spans="1:13" x14ac:dyDescent="0.4">
      <c r="A182" s="165">
        <v>78</v>
      </c>
      <c r="B182" s="166">
        <f t="shared" si="21"/>
        <v>77.900000000000006</v>
      </c>
      <c r="C182" s="166">
        <f t="shared" si="26"/>
        <v>43800.07312044681</v>
      </c>
      <c r="D182" s="166">
        <f t="shared" si="22"/>
        <v>57524.92687955319</v>
      </c>
      <c r="E182" s="166">
        <f t="shared" si="23"/>
        <v>472.5995104449197</v>
      </c>
      <c r="G182" s="165">
        <v>78</v>
      </c>
      <c r="H182" s="166">
        <f t="shared" si="24"/>
        <v>1323.0469746881583</v>
      </c>
      <c r="I182" s="167">
        <f t="shared" si="27"/>
        <v>0.47259951044491971</v>
      </c>
      <c r="J182" s="168">
        <f t="shared" si="25"/>
        <v>1.7472363477635033</v>
      </c>
      <c r="K182" s="165">
        <v>78</v>
      </c>
      <c r="L182" s="169"/>
      <c r="M182" s="170"/>
    </row>
    <row r="183" spans="1:13" x14ac:dyDescent="0.4">
      <c r="A183" s="165">
        <v>78.5</v>
      </c>
      <c r="B183" s="166">
        <f t="shared" si="21"/>
        <v>78.400000000000006</v>
      </c>
      <c r="C183" s="166">
        <f t="shared" si="26"/>
        <v>44710.71945748802</v>
      </c>
      <c r="D183" s="166">
        <f t="shared" si="22"/>
        <v>56614.28054251198</v>
      </c>
      <c r="E183" s="166">
        <f t="shared" si="23"/>
        <v>490.18517548306613</v>
      </c>
      <c r="G183" s="165">
        <v>78.5</v>
      </c>
      <c r="H183" s="166">
        <f t="shared" si="24"/>
        <v>1370.3245596241763</v>
      </c>
      <c r="I183" s="167">
        <f t="shared" si="27"/>
        <v>0.49018517548306612</v>
      </c>
      <c r="J183" s="168">
        <f t="shared" si="25"/>
        <v>1.7777592685275725</v>
      </c>
      <c r="K183" s="165">
        <v>78.5</v>
      </c>
      <c r="L183" s="169"/>
      <c r="M183" s="170"/>
    </row>
    <row r="184" spans="1:13" x14ac:dyDescent="0.4">
      <c r="A184" s="165">
        <v>79</v>
      </c>
      <c r="B184" s="166">
        <f t="shared" si="21"/>
        <v>78.900000000000006</v>
      </c>
      <c r="C184" s="166">
        <f t="shared" si="26"/>
        <v>45637.329859369311</v>
      </c>
      <c r="D184" s="166">
        <f t="shared" si="22"/>
        <v>55687.670140630689</v>
      </c>
      <c r="E184" s="166">
        <f t="shared" si="23"/>
        <v>508.66948575631022</v>
      </c>
      <c r="G184" s="165">
        <v>79</v>
      </c>
      <c r="H184" s="166">
        <f t="shared" si="24"/>
        <v>1420.0036031004706</v>
      </c>
      <c r="I184" s="167">
        <f t="shared" si="27"/>
        <v>0.50866948575631021</v>
      </c>
      <c r="J184" s="168">
        <f t="shared" si="25"/>
        <v>1.8097965470384754</v>
      </c>
      <c r="K184" s="165">
        <v>79</v>
      </c>
      <c r="L184" s="169"/>
      <c r="M184" s="170"/>
    </row>
    <row r="185" spans="1:13" x14ac:dyDescent="0.4">
      <c r="A185" s="165">
        <v>79.5</v>
      </c>
      <c r="B185" s="166">
        <f t="shared" si="21"/>
        <v>79.400000000000006</v>
      </c>
      <c r="C185" s="166">
        <f t="shared" si="26"/>
        <v>46580.127711026675</v>
      </c>
      <c r="D185" s="166">
        <f t="shared" si="22"/>
        <v>54744.872288973325</v>
      </c>
      <c r="E185" s="166">
        <f t="shared" si="23"/>
        <v>528.11893055904602</v>
      </c>
      <c r="G185" s="165">
        <v>79.5</v>
      </c>
      <c r="H185" s="166">
        <f t="shared" si="24"/>
        <v>1472.2619356617026</v>
      </c>
      <c r="I185" s="167">
        <f t="shared" si="27"/>
        <v>0.52811893055904602</v>
      </c>
      <c r="J185" s="168">
        <f t="shared" si="25"/>
        <v>1.8434605913270694</v>
      </c>
      <c r="K185" s="165">
        <v>79.5</v>
      </c>
      <c r="L185" s="169"/>
      <c r="M185" s="170"/>
    </row>
    <row r="186" spans="1:13" x14ac:dyDescent="0.4">
      <c r="A186" s="165">
        <v>80</v>
      </c>
      <c r="B186" s="166">
        <f t="shared" si="21"/>
        <v>79.900000000000006</v>
      </c>
      <c r="C186" s="166">
        <f t="shared" si="26"/>
        <v>47539.338623156662</v>
      </c>
      <c r="D186" s="166">
        <f t="shared" si="22"/>
        <v>53785.661376843338</v>
      </c>
      <c r="E186" s="166">
        <f t="shared" si="23"/>
        <v>548.60672792313426</v>
      </c>
      <c r="G186" s="165">
        <v>80</v>
      </c>
      <c r="H186" s="166">
        <f t="shared" si="24"/>
        <v>1527.2953842244742</v>
      </c>
      <c r="I186" s="167">
        <f t="shared" si="27"/>
        <v>0.54860672792313425</v>
      </c>
      <c r="J186" s="168">
        <f t="shared" si="25"/>
        <v>1.8788751848265388</v>
      </c>
      <c r="K186" s="165">
        <v>80</v>
      </c>
      <c r="L186" s="169"/>
      <c r="M186" s="170"/>
    </row>
    <row r="187" spans="1:13" x14ac:dyDescent="0.4">
      <c r="A187" s="165">
        <v>80.5</v>
      </c>
      <c r="B187" s="166">
        <f t="shared" si="21"/>
        <v>80.400000000000006</v>
      </c>
      <c r="C187" s="166">
        <f t="shared" si="26"/>
        <v>48515.190442890467</v>
      </c>
      <c r="D187" s="166">
        <f t="shared" si="22"/>
        <v>52809.809557109533</v>
      </c>
      <c r="E187" s="166">
        <f t="shared" si="23"/>
        <v>570.21369853752333</v>
      </c>
      <c r="G187" s="165">
        <v>80.5</v>
      </c>
      <c r="H187" s="166">
        <f t="shared" si="24"/>
        <v>1585.3201093994894</v>
      </c>
      <c r="I187" s="167">
        <f t="shared" si="27"/>
        <v>0.57021369853752335</v>
      </c>
      <c r="J187" s="168">
        <f t="shared" si="25"/>
        <v>1.9161769637390678</v>
      </c>
      <c r="K187" s="165">
        <v>80.5</v>
      </c>
      <c r="L187" s="169"/>
      <c r="M187" s="170"/>
    </row>
    <row r="188" spans="1:13" x14ac:dyDescent="0.4">
      <c r="A188" s="165">
        <v>81</v>
      </c>
      <c r="B188" s="166">
        <f t="shared" si="21"/>
        <v>80.900000000000006</v>
      </c>
      <c r="C188" s="166">
        <f t="shared" si="26"/>
        <v>49507.91326440611</v>
      </c>
      <c r="D188" s="166">
        <f t="shared" si="22"/>
        <v>51817.08673559389</v>
      </c>
      <c r="E188" s="166">
        <f t="shared" si="23"/>
        <v>593.02927949598109</v>
      </c>
      <c r="G188" s="165">
        <v>81</v>
      </c>
      <c r="H188" s="166">
        <f t="shared" si="24"/>
        <v>1646.5753167881528</v>
      </c>
      <c r="I188" s="167">
        <f t="shared" si="27"/>
        <v>0.59302927949598105</v>
      </c>
      <c r="J188" s="168">
        <f t="shared" si="25"/>
        <v>1.9555171307835482</v>
      </c>
      <c r="K188" s="165">
        <v>81</v>
      </c>
      <c r="L188" s="169"/>
      <c r="M188" s="170"/>
    </row>
    <row r="189" spans="1:13" x14ac:dyDescent="0.4">
      <c r="A189" s="165">
        <v>81.5</v>
      </c>
      <c r="B189" s="166">
        <f t="shared" si="21"/>
        <v>81.400000000000006</v>
      </c>
      <c r="C189" s="166">
        <f t="shared" si="26"/>
        <v>50517.739439477446</v>
      </c>
      <c r="D189" s="166">
        <f t="shared" si="22"/>
        <v>50807.260560522554</v>
      </c>
      <c r="E189" s="166">
        <f t="shared" si="23"/>
        <v>617.15270468927258</v>
      </c>
      <c r="G189" s="165">
        <v>81.5</v>
      </c>
      <c r="H189" s="166">
        <f t="shared" si="24"/>
        <v>1711.3264139747114</v>
      </c>
      <c r="I189" s="167">
        <f t="shared" si="27"/>
        <v>0.61715270468927264</v>
      </c>
      <c r="J189" s="168">
        <f t="shared" si="25"/>
        <v>1.997063450657661</v>
      </c>
      <c r="K189" s="165">
        <v>81.5</v>
      </c>
      <c r="L189" s="169"/>
      <c r="M189" s="170"/>
    </row>
    <row r="190" spans="1:13" x14ac:dyDescent="0.4">
      <c r="A190" s="165">
        <v>82</v>
      </c>
      <c r="B190" s="166">
        <f t="shared" si="21"/>
        <v>81.900000000000006</v>
      </c>
      <c r="C190" s="166">
        <f t="shared" si="26"/>
        <v>51544.903587959532</v>
      </c>
      <c r="D190" s="166">
        <f t="shared" si="22"/>
        <v>49780.096412040468</v>
      </c>
      <c r="E190" s="166">
        <f t="shared" si="23"/>
        <v>642.6943847012634</v>
      </c>
      <c r="G190" s="165">
        <v>82</v>
      </c>
      <c r="H190" s="166">
        <f t="shared" si="24"/>
        <v>1779.8687010975889</v>
      </c>
      <c r="I190" s="167">
        <f t="shared" si="27"/>
        <v>0.64269438470126339</v>
      </c>
      <c r="J190" s="168">
        <f t="shared" si="25"/>
        <v>2.0410025827636731</v>
      </c>
      <c r="K190" s="165">
        <v>82</v>
      </c>
      <c r="L190" s="169"/>
      <c r="M190" s="170"/>
    </row>
    <row r="191" spans="1:13" x14ac:dyDescent="0.4">
      <c r="A191" s="165">
        <v>82.5</v>
      </c>
      <c r="B191" s="166">
        <f t="shared" si="21"/>
        <v>82.4</v>
      </c>
      <c r="C191" s="166">
        <f t="shared" si="26"/>
        <v>52589.642608209084</v>
      </c>
      <c r="D191" s="166">
        <f t="shared" si="22"/>
        <v>48735.357391790916</v>
      </c>
      <c r="E191" s="166">
        <f t="shared" si="23"/>
        <v>669.77752668800645</v>
      </c>
      <c r="G191" s="165">
        <v>82.5</v>
      </c>
      <c r="H191" s="166">
        <f t="shared" si="24"/>
        <v>1852.5317032623818</v>
      </c>
      <c r="I191" s="167">
        <f t="shared" si="27"/>
        <v>0.6697775266880065</v>
      </c>
      <c r="J191" s="168">
        <f t="shared" si="25"/>
        <v>2.0875428196282981</v>
      </c>
      <c r="K191" s="165">
        <v>82.5</v>
      </c>
      <c r="L191" s="169"/>
      <c r="M191" s="170"/>
    </row>
    <row r="192" spans="1:13" x14ac:dyDescent="0.4">
      <c r="A192" s="165">
        <v>83</v>
      </c>
      <c r="B192" s="166">
        <f t="shared" si="21"/>
        <v>82.9</v>
      </c>
      <c r="C192" s="166">
        <f t="shared" si="26"/>
        <v>53652.195687439234</v>
      </c>
      <c r="D192" s="166">
        <f t="shared" si="22"/>
        <v>47672.804312560766</v>
      </c>
      <c r="E192" s="166">
        <f t="shared" si="23"/>
        <v>698.54004438554352</v>
      </c>
      <c r="G192" s="165">
        <v>83</v>
      </c>
      <c r="H192" s="166">
        <f t="shared" si="24"/>
        <v>1929.684278912767</v>
      </c>
      <c r="I192" s="167">
        <f t="shared" si="27"/>
        <v>0.69854004438554351</v>
      </c>
      <c r="J192" s="168">
        <f t="shared" si="25"/>
        <v>2.1369173157885761</v>
      </c>
      <c r="K192" s="165">
        <v>83</v>
      </c>
      <c r="L192" s="169"/>
      <c r="M192" s="170"/>
    </row>
    <row r="193" spans="1:13" x14ac:dyDescent="0.4">
      <c r="A193" s="165">
        <v>83.5</v>
      </c>
      <c r="B193" s="166">
        <f t="shared" si="21"/>
        <v>83.4</v>
      </c>
      <c r="C193" s="166">
        <f t="shared" si="26"/>
        <v>54732.804312008324</v>
      </c>
      <c r="D193" s="166">
        <f t="shared" si="22"/>
        <v>46592.195687991676</v>
      </c>
      <c r="E193" s="166">
        <f t="shared" si="23"/>
        <v>729.13682073573887</v>
      </c>
      <c r="G193" s="165">
        <v>83.5</v>
      </c>
      <c r="H193" s="166">
        <f t="shared" si="24"/>
        <v>2011.7406712888787</v>
      </c>
      <c r="I193" s="167">
        <f t="shared" si="27"/>
        <v>0.72913682073573882</v>
      </c>
      <c r="J193" s="168">
        <f t="shared" si="25"/>
        <v>2.1893879127827169</v>
      </c>
      <c r="K193" s="165">
        <v>83.5</v>
      </c>
      <c r="L193" s="169"/>
      <c r="M193" s="170"/>
    </row>
    <row r="194" spans="1:13" x14ac:dyDescent="0.4">
      <c r="A194" s="165">
        <v>84</v>
      </c>
      <c r="B194" s="166">
        <f t="shared" si="21"/>
        <v>83.9</v>
      </c>
      <c r="C194" s="166">
        <f t="shared" si="26"/>
        <v>55831.712277640851</v>
      </c>
      <c r="D194" s="166">
        <f t="shared" si="22"/>
        <v>45493.287722359149</v>
      </c>
      <c r="E194" s="166">
        <f t="shared" si="23"/>
        <v>761.74240148975673</v>
      </c>
      <c r="G194" s="165">
        <v>84</v>
      </c>
      <c r="H194" s="166">
        <f t="shared" si="24"/>
        <v>2099.1677125482875</v>
      </c>
      <c r="I194" s="167">
        <f t="shared" si="27"/>
        <v>0.76174240148975669</v>
      </c>
      <c r="J194" s="168">
        <f t="shared" si="25"/>
        <v>2.2452496927137813</v>
      </c>
      <c r="K194" s="165">
        <v>84</v>
      </c>
      <c r="L194" s="169"/>
      <c r="M194" s="170"/>
    </row>
    <row r="195" spans="1:13" x14ac:dyDescent="0.4">
      <c r="A195" s="165">
        <v>84.5</v>
      </c>
      <c r="B195" s="166">
        <f t="shared" si="21"/>
        <v>84.4</v>
      </c>
      <c r="C195" s="166">
        <f t="shared" si="26"/>
        <v>56949.165699580604</v>
      </c>
      <c r="D195" s="166">
        <f t="shared" si="22"/>
        <v>44375.834300419396</v>
      </c>
      <c r="E195" s="166">
        <f t="shared" si="23"/>
        <v>796.55421870221073</v>
      </c>
      <c r="G195" s="165">
        <v>84.5</v>
      </c>
      <c r="H195" s="166">
        <f t="shared" si="24"/>
        <v>2192.4934450954315</v>
      </c>
      <c r="I195" s="167">
        <f t="shared" si="27"/>
        <v>0.79655421870221077</v>
      </c>
      <c r="J195" s="168">
        <f t="shared" si="25"/>
        <v>2.3048364275998554</v>
      </c>
      <c r="K195" s="165">
        <v>84.5</v>
      </c>
      <c r="L195" s="169"/>
      <c r="M195" s="170"/>
    </row>
    <row r="196" spans="1:13" x14ac:dyDescent="0.4">
      <c r="A196" s="165">
        <v>85</v>
      </c>
      <c r="B196" s="166">
        <f t="shared" si="21"/>
        <v>84.9</v>
      </c>
      <c r="C196" s="166">
        <f t="shared" si="26"/>
        <v>58085.413022674889</v>
      </c>
      <c r="D196" s="166">
        <f t="shared" si="22"/>
        <v>43239.586977325111</v>
      </c>
      <c r="E196" s="166">
        <f t="shared" si="23"/>
        <v>833.79646985290481</v>
      </c>
      <c r="G196" s="165">
        <v>85</v>
      </c>
      <c r="H196" s="166">
        <f t="shared" si="24"/>
        <v>2292.3174964066684</v>
      </c>
      <c r="I196" s="167">
        <f>(18/29)*(C196/($N$2-C196))</f>
        <v>0.83379646985290479</v>
      </c>
      <c r="J196" s="168">
        <f t="shared" si="25"/>
        <v>2.3685271370705054</v>
      </c>
      <c r="K196" s="165">
        <v>85</v>
      </c>
      <c r="L196" s="169"/>
      <c r="M196" s="170"/>
    </row>
    <row r="197" spans="1:13" x14ac:dyDescent="0.4">
      <c r="A197" s="165">
        <v>85.5</v>
      </c>
      <c r="B197" s="166">
        <f t="shared" si="21"/>
        <v>85.4</v>
      </c>
      <c r="C197" s="166">
        <f t="shared" si="26"/>
        <v>59240.705031388752</v>
      </c>
      <c r="D197" s="166">
        <f t="shared" si="22"/>
        <v>42084.294968611248</v>
      </c>
      <c r="E197" s="166">
        <f t="shared" si="23"/>
        <v>873.72481362770827</v>
      </c>
      <c r="G197" s="165">
        <v>85.5</v>
      </c>
      <c r="H197" s="166">
        <f t="shared" si="24"/>
        <v>2399.3236380346284</v>
      </c>
      <c r="I197" s="167">
        <f t="shared" si="27"/>
        <v>0.87372481362770826</v>
      </c>
      <c r="J197" s="168">
        <f t="shared" si="25"/>
        <v>2.436754026635259</v>
      </c>
      <c r="K197" s="165">
        <v>85.5</v>
      </c>
      <c r="L197" s="169"/>
      <c r="M197" s="170"/>
    </row>
    <row r="198" spans="1:13" x14ac:dyDescent="0.4">
      <c r="A198" s="165">
        <v>86</v>
      </c>
      <c r="B198" s="166">
        <f t="shared" si="21"/>
        <v>85.9</v>
      </c>
      <c r="C198" s="166">
        <f t="shared" si="26"/>
        <v>60415.294859748967</v>
      </c>
      <c r="D198" s="166">
        <f t="shared" si="22"/>
        <v>40909.705140251033</v>
      </c>
      <c r="E198" s="166">
        <f t="shared" si="23"/>
        <v>916.63209023576906</v>
      </c>
      <c r="G198" s="165">
        <v>86</v>
      </c>
      <c r="H198" s="166">
        <f t="shared" si="24"/>
        <v>2514.2950847656771</v>
      </c>
      <c r="I198" s="167">
        <f t="shared" si="27"/>
        <v>0.91663209023576908</v>
      </c>
      <c r="J198" s="168">
        <f t="shared" si="25"/>
        <v>2.510012157943033</v>
      </c>
      <c r="K198" s="165">
        <v>86</v>
      </c>
      <c r="L198" s="169"/>
      <c r="M198" s="170"/>
    </row>
    <row r="199" spans="1:13" x14ac:dyDescent="0.4">
      <c r="A199" s="165">
        <v>86.5</v>
      </c>
      <c r="B199" s="166">
        <f t="shared" si="21"/>
        <v>86.4</v>
      </c>
      <c r="C199" s="166">
        <f t="shared" si="26"/>
        <v>61609.438001216447</v>
      </c>
      <c r="D199" s="166">
        <f t="shared" si="22"/>
        <v>39715.561998783553</v>
      </c>
      <c r="E199" s="166">
        <f t="shared" si="23"/>
        <v>962.85533689571128</v>
      </c>
      <c r="G199" s="165">
        <v>86.5</v>
      </c>
      <c r="H199" s="166">
        <f t="shared" si="24"/>
        <v>2638.1332577456142</v>
      </c>
      <c r="I199" s="167">
        <f t="shared" si="27"/>
        <v>0.96285533689571123</v>
      </c>
      <c r="J199" s="168">
        <f t="shared" si="25"/>
        <v>2.5888713085402473</v>
      </c>
      <c r="K199" s="165">
        <v>86.5</v>
      </c>
      <c r="L199" s="169"/>
      <c r="M199" s="170"/>
    </row>
    <row r="200" spans="1:13" x14ac:dyDescent="0.4">
      <c r="A200" s="165">
        <v>87</v>
      </c>
      <c r="B200" s="166">
        <f t="shared" si="21"/>
        <v>86.9</v>
      </c>
      <c r="C200" s="166">
        <f>611.14*EXP(17.269*(((273.16+A200)-273.16)/((273.16+A200)-35.86)))</f>
        <v>62823.392318486331</v>
      </c>
      <c r="D200" s="166">
        <f t="shared" si="22"/>
        <v>38501.607681513669</v>
      </c>
      <c r="E200" s="166">
        <f t="shared" si="23"/>
        <v>1012.7844540280124</v>
      </c>
      <c r="G200" s="165">
        <v>87</v>
      </c>
      <c r="H200" s="166">
        <f t="shared" si="24"/>
        <v>2771.8809624684886</v>
      </c>
      <c r="I200" s="167">
        <f t="shared" si="27"/>
        <v>1.0127844540280124</v>
      </c>
      <c r="J200" s="168">
        <f t="shared" si="25"/>
        <v>2.6739906221675254</v>
      </c>
      <c r="K200" s="165">
        <v>87</v>
      </c>
      <c r="L200" s="169"/>
      <c r="M200" s="170"/>
    </row>
    <row r="201" spans="1:13" x14ac:dyDescent="0.4">
      <c r="A201" s="165">
        <v>87.5</v>
      </c>
      <c r="B201" s="166">
        <f t="shared" si="21"/>
        <v>87.4</v>
      </c>
      <c r="C201" s="166">
        <f t="shared" si="26"/>
        <v>64057.418053215704</v>
      </c>
      <c r="D201" s="166">
        <f t="shared" si="22"/>
        <v>37267.581946784296</v>
      </c>
      <c r="E201" s="166">
        <f t="shared" si="23"/>
        <v>1066.8729937847861</v>
      </c>
      <c r="G201" s="165">
        <v>87.5</v>
      </c>
      <c r="H201" s="166">
        <f t="shared" si="24"/>
        <v>2916.7512430203606</v>
      </c>
      <c r="I201" s="167">
        <f t="shared" si="27"/>
        <v>1.0668729937847861</v>
      </c>
      <c r="J201" s="168">
        <f t="shared" si="25"/>
        <v>2.7661368468932266</v>
      </c>
      <c r="K201" s="165">
        <v>87.5</v>
      </c>
      <c r="L201" s="169"/>
      <c r="M201" s="170"/>
    </row>
    <row r="202" spans="1:13" x14ac:dyDescent="0.4">
      <c r="A202" s="165">
        <v>88</v>
      </c>
      <c r="B202" s="166">
        <f t="shared" si="21"/>
        <v>87.9</v>
      </c>
      <c r="C202" s="166">
        <f t="shared" si="26"/>
        <v>65311.777835677101</v>
      </c>
      <c r="D202" s="166">
        <f t="shared" si="22"/>
        <v>36013.222164322899</v>
      </c>
      <c r="E202" s="166">
        <f t="shared" si="23"/>
        <v>1125.6517031037481</v>
      </c>
      <c r="G202" s="165">
        <v>88</v>
      </c>
      <c r="H202" s="166">
        <f t="shared" si="24"/>
        <v>3074.1636033805053</v>
      </c>
      <c r="I202" s="167">
        <f t="shared" si="27"/>
        <v>1.1256517031037481</v>
      </c>
      <c r="J202" s="168">
        <f t="shared" si="25"/>
        <v>2.8662072298031602</v>
      </c>
      <c r="K202" s="165">
        <v>88</v>
      </c>
      <c r="L202" s="169"/>
      <c r="M202" s="170"/>
    </row>
    <row r="203" spans="1:13" x14ac:dyDescent="0.4">
      <c r="A203" s="165">
        <v>88.5</v>
      </c>
      <c r="B203" s="166">
        <f t="shared" si="21"/>
        <v>88.4</v>
      </c>
      <c r="C203" s="166">
        <f t="shared" si="26"/>
        <v>66586.736694337465</v>
      </c>
      <c r="D203" s="166">
        <f t="shared" si="22"/>
        <v>34738.263305662535</v>
      </c>
      <c r="E203" s="166">
        <f t="shared" si="23"/>
        <v>1189.7456782512113</v>
      </c>
      <c r="G203" s="165">
        <v>88.5</v>
      </c>
      <c r="H203" s="166">
        <f t="shared" si="24"/>
        <v>3245.7898877581988</v>
      </c>
      <c r="I203" s="167">
        <f t="shared" si="27"/>
        <v>1.1897456782512112</v>
      </c>
      <c r="J203" s="168">
        <f t="shared" si="25"/>
        <v>2.9752585169558392</v>
      </c>
      <c r="K203" s="165">
        <v>88.5</v>
      </c>
      <c r="M203" s="170"/>
    </row>
    <row r="204" spans="1:13" x14ac:dyDescent="0.4">
      <c r="A204" s="165">
        <v>89</v>
      </c>
      <c r="B204" s="166">
        <f t="shared" si="21"/>
        <v>88.9</v>
      </c>
      <c r="C204" s="166">
        <f t="shared" si="26"/>
        <v>67882.562065362552</v>
      </c>
      <c r="D204" s="166">
        <f t="shared" si="22"/>
        <v>33442.437934637448</v>
      </c>
      <c r="E204" s="166">
        <f t="shared" si="23"/>
        <v>1259.8963066903166</v>
      </c>
      <c r="G204" s="165">
        <v>89</v>
      </c>
      <c r="H204" s="166">
        <f t="shared" si="24"/>
        <v>3433.6129647742414</v>
      </c>
      <c r="I204" s="167">
        <f t="shared" si="27"/>
        <v>1.2598963066903166</v>
      </c>
      <c r="J204" s="168">
        <f t="shared" si="25"/>
        <v>3.0945440463684979</v>
      </c>
      <c r="K204" s="165">
        <v>89</v>
      </c>
      <c r="M204" s="170"/>
    </row>
    <row r="205" spans="1:13" x14ac:dyDescent="0.4">
      <c r="A205" s="165">
        <v>89.5</v>
      </c>
      <c r="B205" s="166">
        <f t="shared" si="21"/>
        <v>89.4</v>
      </c>
      <c r="C205" s="166">
        <f t="shared" si="26"/>
        <v>69199.523802044481</v>
      </c>
      <c r="D205" s="166">
        <f t="shared" si="22"/>
        <v>32125.476197955519</v>
      </c>
      <c r="E205" s="166">
        <f t="shared" si="23"/>
        <v>1336.9896309745498</v>
      </c>
      <c r="G205" s="165">
        <v>89.5</v>
      </c>
      <c r="H205" s="166">
        <f t="shared" si="24"/>
        <v>3640.0025875414826</v>
      </c>
      <c r="I205" s="167">
        <f t="shared" si="27"/>
        <v>1.3369896309745497</v>
      </c>
      <c r="J205" s="168">
        <f t="shared" si="25"/>
        <v>3.2255616975139394</v>
      </c>
      <c r="K205" s="165">
        <v>89.5</v>
      </c>
      <c r="M205" s="170"/>
    </row>
    <row r="206" spans="1:13" x14ac:dyDescent="0.4">
      <c r="A206" s="165">
        <v>90</v>
      </c>
      <c r="B206" s="166">
        <f t="shared" si="21"/>
        <v>89.9</v>
      </c>
      <c r="C206" s="166">
        <f t="shared" si="26"/>
        <v>70537.894184153469</v>
      </c>
      <c r="D206" s="166">
        <f t="shared" si="22"/>
        <v>30787.105815846531</v>
      </c>
      <c r="E206" s="166">
        <f t="shared" si="23"/>
        <v>1422.0934400145916</v>
      </c>
      <c r="G206" s="165">
        <v>90</v>
      </c>
      <c r="H206" s="166">
        <f t="shared" si="24"/>
        <v>3867.8145953667577</v>
      </c>
      <c r="I206" s="167">
        <f t="shared" si="27"/>
        <v>1.4220934400145915</v>
      </c>
      <c r="J206" s="168">
        <f t="shared" si="25"/>
        <v>3.3701165945467588</v>
      </c>
      <c r="K206" s="165">
        <v>90</v>
      </c>
      <c r="M206" s="170"/>
    </row>
    <row r="207" spans="1:13" x14ac:dyDescent="0.4">
      <c r="A207" s="165">
        <v>90.5</v>
      </c>
      <c r="B207" s="166">
        <f t="shared" si="21"/>
        <v>90.4</v>
      </c>
      <c r="C207" s="166">
        <f t="shared" si="26"/>
        <v>71897.947927211164</v>
      </c>
      <c r="D207" s="166">
        <f t="shared" si="22"/>
        <v>29427.052072788836</v>
      </c>
      <c r="E207" s="166">
        <f t="shared" si="23"/>
        <v>1516.506389976139</v>
      </c>
      <c r="G207" s="165">
        <v>90.5</v>
      </c>
      <c r="H207" s="166">
        <f t="shared" si="24"/>
        <v>4120.5222890611985</v>
      </c>
      <c r="I207" s="167">
        <f t="shared" si="27"/>
        <v>1.5165063899761391</v>
      </c>
      <c r="J207" s="168">
        <f t="shared" si="25"/>
        <v>3.5304041457651389</v>
      </c>
      <c r="K207" s="165">
        <v>90.5</v>
      </c>
      <c r="M207" s="170"/>
    </row>
    <row r="208" spans="1:13" x14ac:dyDescent="0.4">
      <c r="A208" s="165">
        <v>91</v>
      </c>
      <c r="B208" s="166">
        <f t="shared" si="21"/>
        <v>90.9</v>
      </c>
      <c r="C208" s="166">
        <f t="shared" si="26"/>
        <v>73279.962191686966</v>
      </c>
      <c r="D208" s="166">
        <f t="shared" si="22"/>
        <v>28045.037808313034</v>
      </c>
      <c r="E208" s="166">
        <f t="shared" si="23"/>
        <v>1621.8239666741838</v>
      </c>
      <c r="G208" s="165">
        <v>91</v>
      </c>
      <c r="H208" s="166">
        <f t="shared" si="24"/>
        <v>4402.3928493373151</v>
      </c>
      <c r="I208" s="167">
        <f t="shared" si="27"/>
        <v>1.6218239666741838</v>
      </c>
      <c r="J208" s="168">
        <f t="shared" si="25"/>
        <v>3.7091215538245645</v>
      </c>
      <c r="K208" s="165">
        <v>91</v>
      </c>
      <c r="M208" s="170"/>
    </row>
    <row r="209" spans="1:13" x14ac:dyDescent="0.4">
      <c r="A209" s="165">
        <v>91.5</v>
      </c>
      <c r="B209" s="166">
        <f t="shared" si="21"/>
        <v>91.4</v>
      </c>
      <c r="C209" s="166">
        <f t="shared" si="26"/>
        <v>74684.21659211423</v>
      </c>
      <c r="D209" s="166">
        <f t="shared" si="22"/>
        <v>26640.78340788577</v>
      </c>
      <c r="E209" s="166">
        <f t="shared" si="23"/>
        <v>1740.0284343612727</v>
      </c>
      <c r="G209" s="165">
        <v>91.5</v>
      </c>
      <c r="H209" s="166">
        <f t="shared" si="24"/>
        <v>4718.7279075353108</v>
      </c>
      <c r="I209" s="167">
        <f t="shared" si="27"/>
        <v>1.7400284343612726</v>
      </c>
      <c r="J209" s="168">
        <f t="shared" si="25"/>
        <v>3.9096198752385343</v>
      </c>
      <c r="K209" s="165">
        <v>91.5</v>
      </c>
      <c r="M209" s="170"/>
    </row>
    <row r="210" spans="1:13" x14ac:dyDescent="0.4">
      <c r="A210" s="165">
        <v>92</v>
      </c>
      <c r="B210" s="166">
        <f t="shared" si="21"/>
        <v>91.9</v>
      </c>
      <c r="C210" s="166">
        <f t="shared" si="26"/>
        <v>76110.993206127998</v>
      </c>
      <c r="D210" s="166">
        <f t="shared" si="22"/>
        <v>25214.006793872002</v>
      </c>
      <c r="E210" s="166">
        <f t="shared" si="23"/>
        <v>1873.6136035079921</v>
      </c>
      <c r="G210" s="165">
        <v>92</v>
      </c>
      <c r="H210" s="166">
        <f t="shared" si="24"/>
        <v>5076.197240787119</v>
      </c>
      <c r="I210" s="167">
        <f t="shared" si="27"/>
        <v>1.8736136035079922</v>
      </c>
      <c r="J210" s="168">
        <f t="shared" si="25"/>
        <v>4.1361149418036041</v>
      </c>
      <c r="K210" s="165">
        <v>92</v>
      </c>
      <c r="M210" s="170"/>
    </row>
    <row r="211" spans="1:13" x14ac:dyDescent="0.4">
      <c r="A211" s="165">
        <v>92.5</v>
      </c>
      <c r="B211" s="166">
        <f t="shared" si="21"/>
        <v>92.4</v>
      </c>
      <c r="C211" s="166">
        <f t="shared" si="26"/>
        <v>77560.576583422066</v>
      </c>
      <c r="D211" s="166">
        <f t="shared" si="22"/>
        <v>23764.423416577934</v>
      </c>
      <c r="E211" s="166">
        <f t="shared" si="23"/>
        <v>2025.7612267990014</v>
      </c>
      <c r="G211" s="165">
        <v>92.5</v>
      </c>
      <c r="H211" s="166">
        <f t="shared" si="24"/>
        <v>5483.3105483894633</v>
      </c>
      <c r="I211" s="167">
        <f t="shared" si="27"/>
        <v>2.0257612267990015</v>
      </c>
      <c r="J211" s="168">
        <f t="shared" si="25"/>
        <v>4.3939855601426219</v>
      </c>
      <c r="K211" s="165">
        <v>92.5</v>
      </c>
      <c r="M211" s="170"/>
    </row>
    <row r="212" spans="1:13" x14ac:dyDescent="0.4">
      <c r="A212" s="165">
        <v>93</v>
      </c>
      <c r="B212" s="166">
        <f t="shared" si="21"/>
        <v>92.9</v>
      </c>
      <c r="C212" s="166">
        <f t="shared" si="26"/>
        <v>79033.253754624457</v>
      </c>
      <c r="D212" s="166">
        <f t="shared" si="22"/>
        <v>22291.746245375543</v>
      </c>
      <c r="E212" s="166">
        <f t="shared" si="23"/>
        <v>2200.5957936242116</v>
      </c>
      <c r="G212" s="165">
        <v>93</v>
      </c>
      <c r="H212" s="166">
        <f t="shared" si="24"/>
        <v>5951.0989073006713</v>
      </c>
      <c r="I212" s="167">
        <f t="shared" si="27"/>
        <v>2.2005957936242115</v>
      </c>
      <c r="J212" s="168">
        <f t="shared" si="25"/>
        <v>4.6902042448451624</v>
      </c>
      <c r="K212" s="165">
        <v>93</v>
      </c>
      <c r="L212" s="169"/>
      <c r="M212" s="170"/>
    </row>
    <row r="213" spans="1:13" x14ac:dyDescent="0.4">
      <c r="A213" s="165">
        <v>93.5</v>
      </c>
      <c r="B213" s="166">
        <f t="shared" si="21"/>
        <v>93.4</v>
      </c>
      <c r="C213" s="166">
        <f t="shared" si="26"/>
        <v>80529.314240092906</v>
      </c>
      <c r="D213" s="166">
        <f t="shared" si="22"/>
        <v>20795.685759907094</v>
      </c>
      <c r="E213" s="166">
        <f t="shared" si="23"/>
        <v>2403.5616263888733</v>
      </c>
      <c r="G213" s="165">
        <v>93.5</v>
      </c>
      <c r="H213" s="166">
        <f t="shared" si="24"/>
        <v>6494.1233275157638</v>
      </c>
      <c r="I213" s="167">
        <f t="shared" si="27"/>
        <v>2.4035616263888731</v>
      </c>
      <c r="J213" s="168">
        <f t="shared" si="25"/>
        <v>5.0339747043010563</v>
      </c>
      <c r="K213" s="165">
        <v>93.5</v>
      </c>
      <c r="M213" s="170"/>
    </row>
    <row r="214" spans="1:13" x14ac:dyDescent="0.4">
      <c r="A214" s="165">
        <v>94</v>
      </c>
      <c r="B214" s="166">
        <f t="shared" si="21"/>
        <v>93.9</v>
      </c>
      <c r="C214" s="166">
        <f t="shared" si="26"/>
        <v>82049.050058626279</v>
      </c>
      <c r="D214" s="166">
        <f t="shared" si="22"/>
        <v>19275.949941373721</v>
      </c>
      <c r="E214" s="166">
        <f t="shared" si="23"/>
        <v>2641.9967235339009</v>
      </c>
      <c r="G214" s="165">
        <v>94</v>
      </c>
      <c r="H214" s="166">
        <f t="shared" si="24"/>
        <v>7132.0095124117224</v>
      </c>
      <c r="I214" s="167">
        <f t="shared" si="27"/>
        <v>2.641996723533901</v>
      </c>
      <c r="J214" s="168">
        <f t="shared" si="25"/>
        <v>5.4377019292094921</v>
      </c>
      <c r="K214" s="165">
        <v>94</v>
      </c>
      <c r="M214" s="170"/>
    </row>
    <row r="215" spans="1:13" x14ac:dyDescent="0.4">
      <c r="A215" s="165">
        <v>94.5</v>
      </c>
      <c r="B215" s="166">
        <f t="shared" si="21"/>
        <v>94.4</v>
      </c>
      <c r="C215" s="166">
        <f t="shared" si="26"/>
        <v>83592.755736094492</v>
      </c>
      <c r="D215" s="166">
        <f t="shared" si="22"/>
        <v>17732.244263905508</v>
      </c>
      <c r="E215" s="166">
        <f t="shared" si="23"/>
        <v>2926.0345143317272</v>
      </c>
      <c r="G215" s="165">
        <v>94.5</v>
      </c>
      <c r="H215" s="166">
        <f t="shared" si="24"/>
        <v>7891.8596289591796</v>
      </c>
      <c r="I215" s="167">
        <f t="shared" si="27"/>
        <v>2.926034514331727</v>
      </c>
      <c r="J215" s="168">
        <f t="shared" si="25"/>
        <v>5.9185166198811947</v>
      </c>
      <c r="K215" s="165">
        <v>94.5</v>
      </c>
      <c r="M215" s="170"/>
    </row>
    <row r="216" spans="1:13" x14ac:dyDescent="0.4">
      <c r="A216" s="165">
        <v>95</v>
      </c>
      <c r="B216" s="166">
        <f t="shared" si="21"/>
        <v>94.9</v>
      </c>
      <c r="C216" s="166">
        <f t="shared" si="26"/>
        <v>85160.728313983927</v>
      </c>
      <c r="D216" s="166">
        <f t="shared" si="22"/>
        <v>16164.271686016073</v>
      </c>
      <c r="E216" s="166">
        <f t="shared" si="23"/>
        <v>3270.0751458642453</v>
      </c>
      <c r="G216" s="165">
        <v>95</v>
      </c>
      <c r="H216" s="166">
        <f t="shared" si="24"/>
        <v>8812.1873088157317</v>
      </c>
      <c r="I216" s="167">
        <f t="shared" si="27"/>
        <v>3.2700751458642454</v>
      </c>
      <c r="J216" s="168">
        <f t="shared" si="25"/>
        <v>6.5007624145315877</v>
      </c>
      <c r="K216" s="165">
        <v>95</v>
      </c>
      <c r="M216" s="170"/>
    </row>
    <row r="217" spans="1:13" x14ac:dyDescent="0.4">
      <c r="A217" s="165">
        <v>95.5</v>
      </c>
      <c r="B217" s="166">
        <f t="shared" si="21"/>
        <v>95.4</v>
      </c>
      <c r="C217" s="166">
        <f t="shared" si="26"/>
        <v>86753.267357858975</v>
      </c>
      <c r="D217" s="166">
        <f t="shared" si="22"/>
        <v>14571.732642141025</v>
      </c>
      <c r="E217" s="166">
        <f t="shared" si="23"/>
        <v>3695.2953312982272</v>
      </c>
      <c r="G217" s="165">
        <v>95.5</v>
      </c>
      <c r="H217" s="166">
        <f t="shared" si="24"/>
        <v>9949.6303127199753</v>
      </c>
      <c r="I217" s="167">
        <f t="shared" si="27"/>
        <v>3.6952953312982273</v>
      </c>
      <c r="J217" s="168">
        <f t="shared" si="25"/>
        <v>7.2202388179151074</v>
      </c>
      <c r="K217" s="165">
        <v>95.5</v>
      </c>
      <c r="M217" s="170"/>
    </row>
    <row r="218" spans="1:13" x14ac:dyDescent="0.4">
      <c r="A218" s="165">
        <v>96</v>
      </c>
      <c r="B218" s="166">
        <f t="shared" ref="B218:B281" si="28">A218-0.1</f>
        <v>95.9</v>
      </c>
      <c r="C218" s="166">
        <f t="shared" si="26"/>
        <v>88370.674965739425</v>
      </c>
      <c r="D218" s="166">
        <f t="shared" ref="D218:D226" si="29">$N$2-C218</f>
        <v>12954.325034260575</v>
      </c>
      <c r="E218" s="166">
        <f t="shared" ref="E218:E225" si="30">I218*1000</f>
        <v>4234.1660894545485</v>
      </c>
      <c r="G218" s="165">
        <v>96</v>
      </c>
      <c r="H218" s="166">
        <f t="shared" ref="H218:H225" si="31">(((1.005+(1.88*(E218/1000)))*A218)+(2487*(E218/1000)))</f>
        <v>11391.033360298219</v>
      </c>
      <c r="I218" s="167">
        <f t="shared" si="27"/>
        <v>4.2341660894545488</v>
      </c>
      <c r="J218" s="168">
        <f t="shared" ref="J218:J225" si="32">((22.41/273)*(A218+273))*((1/28.96)+((1/18.1)*I218))</f>
        <v>8.1318384942961579</v>
      </c>
      <c r="K218" s="165">
        <v>96</v>
      </c>
      <c r="M218" s="170"/>
    </row>
    <row r="219" spans="1:13" x14ac:dyDescent="0.4">
      <c r="A219" s="165">
        <v>96.5</v>
      </c>
      <c r="B219" s="166">
        <f t="shared" si="28"/>
        <v>96.4</v>
      </c>
      <c r="C219" s="166">
        <f t="shared" si="26"/>
        <v>90013.255776390812</v>
      </c>
      <c r="D219" s="166">
        <f t="shared" si="29"/>
        <v>11311.744223609188</v>
      </c>
      <c r="E219" s="166">
        <f t="shared" si="30"/>
        <v>4939.1407358898014</v>
      </c>
      <c r="G219" s="165">
        <v>96.5</v>
      </c>
      <c r="H219" s="166">
        <f t="shared" si="31"/>
        <v>13276.684422463064</v>
      </c>
      <c r="I219" s="167">
        <f t="shared" si="27"/>
        <v>4.9391407358898016</v>
      </c>
      <c r="J219" s="168">
        <f t="shared" si="32"/>
        <v>9.3242344206649719</v>
      </c>
      <c r="K219" s="165">
        <v>96.5</v>
      </c>
      <c r="M219" s="170"/>
    </row>
    <row r="220" spans="1:13" x14ac:dyDescent="0.4">
      <c r="A220" s="165">
        <v>97</v>
      </c>
      <c r="B220" s="166">
        <f t="shared" si="28"/>
        <v>96.9</v>
      </c>
      <c r="C220" s="166">
        <f>611.14*EXP(17.269*(((273.16+A220)-273.16)/((273.16+A220)-35.86)))</f>
        <v>91681.316977530849</v>
      </c>
      <c r="D220" s="166">
        <f t="shared" si="29"/>
        <v>9643.6830224691512</v>
      </c>
      <c r="E220" s="166">
        <f t="shared" si="30"/>
        <v>5900.8207640120445</v>
      </c>
      <c r="G220" s="165">
        <v>97</v>
      </c>
      <c r="H220" s="166">
        <f t="shared" si="31"/>
        <v>15848.899914623191</v>
      </c>
      <c r="I220" s="167">
        <f t="shared" ref="I220:I225" si="33">(18/29)*(C220/($N$2-C220))</f>
        <v>5.9008207640120443</v>
      </c>
      <c r="J220" s="168">
        <f t="shared" si="32"/>
        <v>10.950589526836797</v>
      </c>
      <c r="K220" s="165">
        <v>97</v>
      </c>
      <c r="M220" s="170"/>
    </row>
    <row r="221" spans="1:13" x14ac:dyDescent="0.4">
      <c r="A221" s="165">
        <v>97.5</v>
      </c>
      <c r="B221" s="166">
        <f t="shared" si="28"/>
        <v>97.4</v>
      </c>
      <c r="C221" s="166">
        <f>611.14*EXP(17.269*(((273.16+A221)-273.16)/((273.16+A221)-35.86)))</f>
        <v>93375.168313947477</v>
      </c>
      <c r="D221" s="166">
        <f t="shared" si="29"/>
        <v>7949.8316860525229</v>
      </c>
      <c r="E221" s="166">
        <f t="shared" si="30"/>
        <v>7290.3431558346147</v>
      </c>
      <c r="G221" s="165">
        <v>97.5</v>
      </c>
      <c r="H221" s="166">
        <f t="shared" si="31"/>
        <v>19565.390829025171</v>
      </c>
      <c r="I221" s="167">
        <f t="shared" si="33"/>
        <v>7.2903431558346146</v>
      </c>
      <c r="J221" s="168">
        <f t="shared" si="32"/>
        <v>13.300212953128732</v>
      </c>
      <c r="K221" s="165">
        <v>97.5</v>
      </c>
      <c r="M221" s="170"/>
    </row>
    <row r="222" spans="1:13" x14ac:dyDescent="0.4">
      <c r="A222" s="165">
        <v>98</v>
      </c>
      <c r="B222" s="166">
        <f t="shared" si="28"/>
        <v>97.9</v>
      </c>
      <c r="C222" s="166">
        <f>611.14*EXP(17.269*(((273.16+A222)-273.16)/((273.16+A222)-35.86)))</f>
        <v>95095.1220955303</v>
      </c>
      <c r="D222" s="166">
        <f t="shared" si="29"/>
        <v>6229.8779044697003</v>
      </c>
      <c r="E222" s="166">
        <f t="shared" si="30"/>
        <v>9474.4326369069622</v>
      </c>
      <c r="G222" s="165">
        <v>98</v>
      </c>
      <c r="H222" s="166">
        <f t="shared" si="31"/>
        <v>25406.973437011355</v>
      </c>
      <c r="I222" s="167">
        <f t="shared" si="33"/>
        <v>9.4744326369069629</v>
      </c>
      <c r="J222" s="168">
        <f t="shared" si="32"/>
        <v>16.99305726849909</v>
      </c>
      <c r="K222" s="165">
        <v>98</v>
      </c>
      <c r="M222" s="170"/>
    </row>
    <row r="223" spans="1:13" x14ac:dyDescent="0.4">
      <c r="A223" s="165">
        <v>98.5</v>
      </c>
      <c r="B223" s="166">
        <f t="shared" si="28"/>
        <v>98.4</v>
      </c>
      <c r="C223" s="166">
        <f>611.14*EXP(17.269*(((273.16+A223)-273.16)/((273.16+A223)-35.86)))</f>
        <v>96841.493205214734</v>
      </c>
      <c r="D223" s="166">
        <f t="shared" si="29"/>
        <v>4483.5067947852658</v>
      </c>
      <c r="E223" s="166">
        <f t="shared" si="30"/>
        <v>13406.584572111758</v>
      </c>
      <c r="G223" s="165">
        <v>98.5</v>
      </c>
      <c r="H223" s="166">
        <f t="shared" si="31"/>
        <v>35923.799661905592</v>
      </c>
      <c r="I223" s="167">
        <f t="shared" si="33"/>
        <v>13.406584572111759</v>
      </c>
      <c r="J223" s="168">
        <f t="shared" si="32"/>
        <v>23.641017851976326</v>
      </c>
      <c r="K223" s="165">
        <v>98.5</v>
      </c>
      <c r="M223" s="170"/>
    </row>
    <row r="224" spans="1:13" x14ac:dyDescent="0.4">
      <c r="A224" s="165">
        <v>99</v>
      </c>
      <c r="B224" s="166">
        <f t="shared" si="28"/>
        <v>98.9</v>
      </c>
      <c r="C224" s="166">
        <f>611.14*EXP(17.269*(((273.16+A224)-273.16)/((273.16+A224)-35.86)))</f>
        <v>98614.59910683721</v>
      </c>
      <c r="D224" s="166">
        <f t="shared" si="29"/>
        <v>2710.4008931627905</v>
      </c>
      <c r="E224" s="166">
        <f t="shared" si="30"/>
        <v>22583.028831267551</v>
      </c>
      <c r="G224" s="165">
        <v>99</v>
      </c>
      <c r="H224" s="166">
        <f t="shared" si="31"/>
        <v>60466.641029437917</v>
      </c>
      <c r="I224" s="167">
        <f t="shared" si="33"/>
        <v>22.583028831267551</v>
      </c>
      <c r="J224" s="168">
        <f t="shared" si="32"/>
        <v>39.154513288494641</v>
      </c>
      <c r="K224" s="165">
        <v>99</v>
      </c>
      <c r="M224" s="170"/>
    </row>
    <row r="225" spans="1:13" x14ac:dyDescent="0.4">
      <c r="A225" s="165">
        <v>99.5</v>
      </c>
      <c r="B225" s="166">
        <f t="shared" si="28"/>
        <v>99.4</v>
      </c>
      <c r="C225" s="166">
        <f>610.472*EXP(17.269*(((273.16+A225)-273.16)/((273.16+A225)-35.86)))</f>
        <v>100305.00258029325</v>
      </c>
      <c r="D225" s="166">
        <f t="shared" si="29"/>
        <v>1019.9974197067495</v>
      </c>
      <c r="E225" s="166">
        <f t="shared" si="30"/>
        <v>61037.681332105356</v>
      </c>
      <c r="G225" s="165">
        <v>99.5</v>
      </c>
      <c r="H225" s="166">
        <f t="shared" si="31"/>
        <v>163318.41964292966</v>
      </c>
      <c r="I225" s="167">
        <f t="shared" si="33"/>
        <v>61.037681332105358</v>
      </c>
      <c r="J225" s="168">
        <f t="shared" si="32"/>
        <v>104.17159583976873</v>
      </c>
      <c r="K225" s="165">
        <v>99.5</v>
      </c>
      <c r="M225" s="170"/>
    </row>
    <row r="226" spans="1:13" x14ac:dyDescent="0.4">
      <c r="A226" s="165">
        <v>100</v>
      </c>
      <c r="B226" s="166">
        <f t="shared" si="28"/>
        <v>99.9</v>
      </c>
      <c r="C226" s="166">
        <v>101419.04</v>
      </c>
      <c r="D226" s="166">
        <f t="shared" si="29"/>
        <v>-94.039999999993597</v>
      </c>
      <c r="G226" s="165">
        <v>100</v>
      </c>
      <c r="J226" s="168"/>
      <c r="K226" s="165">
        <v>100</v>
      </c>
      <c r="M226" s="170"/>
    </row>
    <row r="227" spans="1:13" x14ac:dyDescent="0.4">
      <c r="A227" s="165">
        <v>100.5</v>
      </c>
      <c r="B227" s="166">
        <f t="shared" si="28"/>
        <v>100.4</v>
      </c>
      <c r="C227" s="166">
        <f t="shared" ref="C227:C290" si="34">((A227/100)^4)*100000</f>
        <v>102015.05006249994</v>
      </c>
      <c r="G227" s="165">
        <v>100.5</v>
      </c>
      <c r="K227" s="165">
        <v>100.5</v>
      </c>
      <c r="M227" s="170"/>
    </row>
    <row r="228" spans="1:13" x14ac:dyDescent="0.4">
      <c r="A228" s="165">
        <v>101</v>
      </c>
      <c r="B228" s="166">
        <f t="shared" si="28"/>
        <v>100.9</v>
      </c>
      <c r="C228" s="166">
        <f t="shared" si="34"/>
        <v>104060.401</v>
      </c>
      <c r="G228" s="165">
        <v>101</v>
      </c>
      <c r="K228" s="165">
        <v>101</v>
      </c>
      <c r="M228" s="170"/>
    </row>
    <row r="229" spans="1:13" x14ac:dyDescent="0.4">
      <c r="A229" s="165">
        <v>101.5</v>
      </c>
      <c r="B229" s="166">
        <f t="shared" si="28"/>
        <v>101.4</v>
      </c>
      <c r="C229" s="166">
        <f t="shared" si="34"/>
        <v>106136.35506249995</v>
      </c>
      <c r="G229" s="165">
        <v>101.5</v>
      </c>
      <c r="K229" s="165">
        <v>101.5</v>
      </c>
      <c r="M229" s="170"/>
    </row>
    <row r="230" spans="1:13" x14ac:dyDescent="0.4">
      <c r="A230" s="165">
        <v>102</v>
      </c>
      <c r="B230" s="166">
        <f t="shared" si="28"/>
        <v>101.9</v>
      </c>
      <c r="C230" s="166">
        <f t="shared" si="34"/>
        <v>108243.216</v>
      </c>
      <c r="G230" s="165">
        <v>102</v>
      </c>
      <c r="K230" s="165">
        <v>102</v>
      </c>
      <c r="M230" s="170"/>
    </row>
    <row r="231" spans="1:13" x14ac:dyDescent="0.4">
      <c r="A231" s="165">
        <v>102.5</v>
      </c>
      <c r="B231" s="166">
        <f t="shared" si="28"/>
        <v>102.4</v>
      </c>
      <c r="C231" s="166">
        <f t="shared" si="34"/>
        <v>110381.28906249997</v>
      </c>
      <c r="G231" s="165">
        <v>102.5</v>
      </c>
      <c r="K231" s="165">
        <v>102.5</v>
      </c>
      <c r="M231" s="170"/>
    </row>
    <row r="232" spans="1:13" x14ac:dyDescent="0.4">
      <c r="A232" s="165">
        <v>103</v>
      </c>
      <c r="B232" s="166">
        <f t="shared" si="28"/>
        <v>102.9</v>
      </c>
      <c r="C232" s="166">
        <f t="shared" si="34"/>
        <v>112550.88099999999</v>
      </c>
      <c r="G232" s="165">
        <v>103</v>
      </c>
      <c r="K232" s="165">
        <v>103</v>
      </c>
      <c r="M232" s="170"/>
    </row>
    <row r="233" spans="1:13" x14ac:dyDescent="0.4">
      <c r="A233" s="165">
        <v>103.5</v>
      </c>
      <c r="B233" s="166">
        <f t="shared" si="28"/>
        <v>103.4</v>
      </c>
      <c r="C233" s="166">
        <f t="shared" si="34"/>
        <v>114752.30006249997</v>
      </c>
      <c r="G233" s="165">
        <v>103.5</v>
      </c>
      <c r="K233" s="165">
        <v>103.5</v>
      </c>
      <c r="M233" s="170"/>
    </row>
    <row r="234" spans="1:13" x14ac:dyDescent="0.4">
      <c r="A234" s="165">
        <v>104</v>
      </c>
      <c r="B234" s="166">
        <f t="shared" si="28"/>
        <v>103.9</v>
      </c>
      <c r="C234" s="166">
        <f t="shared" si="34"/>
        <v>116985.85600000001</v>
      </c>
      <c r="G234" s="165">
        <v>104</v>
      </c>
      <c r="K234" s="165">
        <v>104</v>
      </c>
      <c r="M234" s="170"/>
    </row>
    <row r="235" spans="1:13" x14ac:dyDescent="0.4">
      <c r="A235" s="165">
        <v>104.5</v>
      </c>
      <c r="B235" s="166">
        <f t="shared" si="28"/>
        <v>104.4</v>
      </c>
      <c r="C235" s="166">
        <f t="shared" si="34"/>
        <v>119251.86006249995</v>
      </c>
      <c r="G235" s="165">
        <v>104.5</v>
      </c>
      <c r="K235" s="165">
        <v>104.5</v>
      </c>
      <c r="M235" s="170"/>
    </row>
    <row r="236" spans="1:13" x14ac:dyDescent="0.4">
      <c r="A236" s="165">
        <v>105</v>
      </c>
      <c r="B236" s="166">
        <f t="shared" si="28"/>
        <v>104.9</v>
      </c>
      <c r="C236" s="166">
        <f t="shared" si="34"/>
        <v>121550.625</v>
      </c>
      <c r="E236" s="166">
        <f>I236*1000</f>
        <v>75445.215517241377</v>
      </c>
      <c r="G236" s="165">
        <v>105</v>
      </c>
      <c r="I236" s="167">
        <f>(18/29)*(C236)/1000</f>
        <v>75.44521551724138</v>
      </c>
      <c r="J236" s="168">
        <f>((22.41/273)*(A236+273))*((1/29)+((1/18)*I236))</f>
        <v>131.12591807029179</v>
      </c>
      <c r="K236" s="165">
        <v>105</v>
      </c>
      <c r="M236" s="170"/>
    </row>
    <row r="237" spans="1:13" x14ac:dyDescent="0.4">
      <c r="A237" s="165">
        <v>105.5</v>
      </c>
      <c r="B237" s="166">
        <f t="shared" si="28"/>
        <v>105.4</v>
      </c>
      <c r="C237" s="166">
        <f t="shared" si="34"/>
        <v>123882.46506249998</v>
      </c>
      <c r="G237" s="165">
        <v>105.5</v>
      </c>
      <c r="K237" s="165">
        <v>105.5</v>
      </c>
      <c r="M237" s="170"/>
    </row>
    <row r="238" spans="1:13" x14ac:dyDescent="0.4">
      <c r="A238" s="165">
        <v>106</v>
      </c>
      <c r="B238" s="166">
        <f t="shared" si="28"/>
        <v>105.9</v>
      </c>
      <c r="C238" s="166">
        <f t="shared" si="34"/>
        <v>126247.69600000003</v>
      </c>
      <c r="G238" s="165">
        <v>106</v>
      </c>
      <c r="K238" s="165">
        <v>106</v>
      </c>
      <c r="M238" s="170"/>
    </row>
    <row r="239" spans="1:13" x14ac:dyDescent="0.4">
      <c r="A239" s="165">
        <v>106.5</v>
      </c>
      <c r="B239" s="166">
        <f t="shared" si="28"/>
        <v>106.4</v>
      </c>
      <c r="C239" s="166">
        <f t="shared" si="34"/>
        <v>128646.63506249996</v>
      </c>
      <c r="G239" s="165">
        <v>106.5</v>
      </c>
      <c r="K239" s="165">
        <v>106.5</v>
      </c>
      <c r="M239" s="170"/>
    </row>
    <row r="240" spans="1:13" x14ac:dyDescent="0.4">
      <c r="A240" s="165">
        <v>107</v>
      </c>
      <c r="B240" s="166">
        <f t="shared" si="28"/>
        <v>106.9</v>
      </c>
      <c r="C240" s="166">
        <f t="shared" si="34"/>
        <v>131079.601</v>
      </c>
      <c r="G240" s="165">
        <v>107</v>
      </c>
      <c r="K240" s="165">
        <v>107</v>
      </c>
      <c r="M240" s="170"/>
    </row>
    <row r="241" spans="1:13" x14ac:dyDescent="0.4">
      <c r="A241" s="165">
        <v>107.5</v>
      </c>
      <c r="B241" s="166">
        <f t="shared" si="28"/>
        <v>107.4</v>
      </c>
      <c r="C241" s="166">
        <f t="shared" si="34"/>
        <v>133546.9140625</v>
      </c>
      <c r="G241" s="165">
        <v>107.5</v>
      </c>
      <c r="K241" s="165">
        <v>107.5</v>
      </c>
      <c r="M241" s="170"/>
    </row>
    <row r="242" spans="1:13" x14ac:dyDescent="0.4">
      <c r="A242" s="165">
        <v>108</v>
      </c>
      <c r="B242" s="166">
        <f t="shared" si="28"/>
        <v>107.9</v>
      </c>
      <c r="C242" s="166">
        <f t="shared" si="34"/>
        <v>136048.89600000004</v>
      </c>
      <c r="G242" s="165">
        <v>108</v>
      </c>
      <c r="K242" s="165">
        <v>108</v>
      </c>
      <c r="M242" s="170"/>
    </row>
    <row r="243" spans="1:13" x14ac:dyDescent="0.4">
      <c r="A243" s="165">
        <v>108.5</v>
      </c>
      <c r="B243" s="166">
        <f t="shared" si="28"/>
        <v>108.4</v>
      </c>
      <c r="C243" s="166">
        <f t="shared" si="34"/>
        <v>138585.87006249998</v>
      </c>
      <c r="G243" s="165">
        <v>108.5</v>
      </c>
      <c r="K243" s="165">
        <v>108.5</v>
      </c>
      <c r="M243" s="170"/>
    </row>
    <row r="244" spans="1:13" x14ac:dyDescent="0.4">
      <c r="A244" s="165">
        <v>109</v>
      </c>
      <c r="B244" s="166">
        <f t="shared" si="28"/>
        <v>108.9</v>
      </c>
      <c r="C244" s="166">
        <f t="shared" si="34"/>
        <v>141158.16100000002</v>
      </c>
      <c r="G244" s="165">
        <v>109</v>
      </c>
      <c r="K244" s="165">
        <v>109</v>
      </c>
      <c r="M244" s="170"/>
    </row>
    <row r="245" spans="1:13" x14ac:dyDescent="0.4">
      <c r="A245" s="165">
        <v>109.5</v>
      </c>
      <c r="B245" s="166">
        <f t="shared" si="28"/>
        <v>109.4</v>
      </c>
      <c r="C245" s="166">
        <f t="shared" si="34"/>
        <v>143766.09506250001</v>
      </c>
      <c r="G245" s="165">
        <v>109.5</v>
      </c>
      <c r="K245" s="165">
        <v>109.5</v>
      </c>
      <c r="M245" s="170"/>
    </row>
    <row r="246" spans="1:13" x14ac:dyDescent="0.4">
      <c r="A246" s="165">
        <v>110</v>
      </c>
      <c r="B246" s="166">
        <f t="shared" si="28"/>
        <v>109.9</v>
      </c>
      <c r="C246" s="166">
        <f t="shared" si="34"/>
        <v>146410.00000000003</v>
      </c>
      <c r="E246" s="166">
        <f>I246*1000</f>
        <v>90875.172413793131</v>
      </c>
      <c r="G246" s="165">
        <v>110</v>
      </c>
      <c r="I246" s="167">
        <f>(18/29)*(C246)/1000</f>
        <v>90.875172413793138</v>
      </c>
      <c r="J246" s="168">
        <f>((22.41/273)*(A246+273))*((1/29)+((1/18)*I246))</f>
        <v>159.81109666540362</v>
      </c>
      <c r="K246" s="165">
        <v>110</v>
      </c>
      <c r="M246" s="170"/>
    </row>
    <row r="247" spans="1:13" x14ac:dyDescent="0.4">
      <c r="A247" s="165">
        <v>110.5</v>
      </c>
      <c r="B247" s="166">
        <f t="shared" si="28"/>
        <v>110.4</v>
      </c>
      <c r="C247" s="166">
        <f t="shared" si="34"/>
        <v>149090.20506250003</v>
      </c>
      <c r="G247" s="165">
        <v>110.5</v>
      </c>
      <c r="K247" s="165">
        <v>110.5</v>
      </c>
      <c r="M247" s="170"/>
    </row>
    <row r="248" spans="1:13" x14ac:dyDescent="0.4">
      <c r="A248" s="165">
        <v>111</v>
      </c>
      <c r="B248" s="166">
        <f t="shared" si="28"/>
        <v>110.9</v>
      </c>
      <c r="C248" s="166">
        <f t="shared" si="34"/>
        <v>151807.04100000006</v>
      </c>
      <c r="G248" s="165">
        <v>111</v>
      </c>
      <c r="K248" s="165">
        <v>111</v>
      </c>
      <c r="M248" s="170"/>
    </row>
    <row r="249" spans="1:13" x14ac:dyDescent="0.4">
      <c r="A249" s="165">
        <v>111.5</v>
      </c>
      <c r="B249" s="166">
        <f t="shared" si="28"/>
        <v>111.4</v>
      </c>
      <c r="C249" s="166">
        <f t="shared" si="34"/>
        <v>154560.84006250001</v>
      </c>
      <c r="G249" s="165">
        <v>111.5</v>
      </c>
      <c r="K249" s="165">
        <v>111.5</v>
      </c>
      <c r="M249" s="170"/>
    </row>
    <row r="250" spans="1:13" x14ac:dyDescent="0.4">
      <c r="A250" s="165">
        <v>112</v>
      </c>
      <c r="B250" s="166">
        <f t="shared" si="28"/>
        <v>111.9</v>
      </c>
      <c r="C250" s="166">
        <f t="shared" si="34"/>
        <v>157351.93600000005</v>
      </c>
      <c r="G250" s="165">
        <v>112</v>
      </c>
      <c r="K250" s="165">
        <v>112</v>
      </c>
      <c r="M250" s="170"/>
    </row>
    <row r="251" spans="1:13" x14ac:dyDescent="0.4">
      <c r="A251" s="165">
        <v>112.5</v>
      </c>
      <c r="B251" s="166">
        <f t="shared" si="28"/>
        <v>112.4</v>
      </c>
      <c r="C251" s="166">
        <f t="shared" si="34"/>
        <v>160180.6640625</v>
      </c>
      <c r="G251" s="165">
        <v>112.5</v>
      </c>
      <c r="K251" s="165">
        <v>112.5</v>
      </c>
      <c r="M251" s="170"/>
    </row>
    <row r="252" spans="1:13" x14ac:dyDescent="0.4">
      <c r="A252" s="165">
        <v>113</v>
      </c>
      <c r="B252" s="166">
        <f t="shared" si="28"/>
        <v>112.9</v>
      </c>
      <c r="C252" s="166">
        <f t="shared" si="34"/>
        <v>163047.36099999992</v>
      </c>
      <c r="G252" s="165">
        <v>113</v>
      </c>
      <c r="K252" s="165">
        <v>113</v>
      </c>
      <c r="M252" s="170"/>
    </row>
    <row r="253" spans="1:13" x14ac:dyDescent="0.4">
      <c r="A253" s="165">
        <v>113.5</v>
      </c>
      <c r="B253" s="166">
        <f t="shared" si="28"/>
        <v>113.4</v>
      </c>
      <c r="C253" s="166">
        <f t="shared" si="34"/>
        <v>165952.3650625</v>
      </c>
      <c r="G253" s="165">
        <v>113.5</v>
      </c>
      <c r="K253" s="165">
        <v>113.5</v>
      </c>
      <c r="M253" s="170"/>
    </row>
    <row r="254" spans="1:13" x14ac:dyDescent="0.4">
      <c r="A254" s="165">
        <v>114</v>
      </c>
      <c r="B254" s="166">
        <f t="shared" si="28"/>
        <v>113.9</v>
      </c>
      <c r="C254" s="166">
        <f t="shared" si="34"/>
        <v>168896.01599999997</v>
      </c>
      <c r="G254" s="165">
        <v>114</v>
      </c>
      <c r="K254" s="165">
        <v>114</v>
      </c>
      <c r="M254" s="170"/>
    </row>
    <row r="255" spans="1:13" x14ac:dyDescent="0.4">
      <c r="A255" s="165">
        <v>114.5</v>
      </c>
      <c r="B255" s="166">
        <f t="shared" si="28"/>
        <v>114.4</v>
      </c>
      <c r="C255" s="166">
        <f t="shared" si="34"/>
        <v>171878.65506250001</v>
      </c>
      <c r="G255" s="165">
        <v>114.5</v>
      </c>
      <c r="K255" s="165">
        <v>114.5</v>
      </c>
      <c r="M255" s="170"/>
    </row>
    <row r="256" spans="1:13" x14ac:dyDescent="0.4">
      <c r="A256" s="165">
        <v>115</v>
      </c>
      <c r="B256" s="166">
        <f t="shared" si="28"/>
        <v>114.9</v>
      </c>
      <c r="C256" s="166">
        <f t="shared" si="34"/>
        <v>174900.62499999994</v>
      </c>
      <c r="E256" s="166">
        <f>I256*1000</f>
        <v>108559.00862068962</v>
      </c>
      <c r="G256" s="165">
        <v>115</v>
      </c>
      <c r="I256" s="167">
        <f>(18/29)*(C256)/1000</f>
        <v>108.55900862068962</v>
      </c>
      <c r="J256" s="168">
        <f>((22.41/273)*(A256+273))*((1/29)+((1/18)*I256))</f>
        <v>193.18807710306928</v>
      </c>
      <c r="K256" s="165">
        <v>115</v>
      </c>
      <c r="M256" s="170"/>
    </row>
    <row r="257" spans="1:13" x14ac:dyDescent="0.4">
      <c r="A257" s="165">
        <v>115.5</v>
      </c>
      <c r="B257" s="166">
        <f t="shared" si="28"/>
        <v>115.4</v>
      </c>
      <c r="C257" s="166">
        <f t="shared" si="34"/>
        <v>177962.2700625</v>
      </c>
      <c r="G257" s="165">
        <v>115.5</v>
      </c>
      <c r="K257" s="165">
        <v>115.5</v>
      </c>
      <c r="M257" s="170"/>
    </row>
    <row r="258" spans="1:13" x14ac:dyDescent="0.4">
      <c r="A258" s="165">
        <v>116</v>
      </c>
      <c r="B258" s="166">
        <f t="shared" si="28"/>
        <v>115.9</v>
      </c>
      <c r="C258" s="166">
        <f t="shared" si="34"/>
        <v>181063.93599999996</v>
      </c>
      <c r="G258" s="165">
        <v>116</v>
      </c>
      <c r="K258" s="165">
        <v>116</v>
      </c>
      <c r="M258" s="170"/>
    </row>
    <row r="259" spans="1:13" x14ac:dyDescent="0.4">
      <c r="A259" s="165">
        <v>116.5</v>
      </c>
      <c r="B259" s="166">
        <f t="shared" si="28"/>
        <v>116.4</v>
      </c>
      <c r="C259" s="166">
        <f t="shared" si="34"/>
        <v>184205.97006250004</v>
      </c>
      <c r="G259" s="165">
        <v>116.5</v>
      </c>
      <c r="K259" s="165">
        <v>116.5</v>
      </c>
      <c r="M259" s="170"/>
    </row>
    <row r="260" spans="1:13" x14ac:dyDescent="0.4">
      <c r="A260" s="165">
        <v>117</v>
      </c>
      <c r="B260" s="166">
        <f t="shared" si="28"/>
        <v>116.9</v>
      </c>
      <c r="C260" s="166">
        <f t="shared" si="34"/>
        <v>187388.72099999996</v>
      </c>
      <c r="G260" s="165">
        <v>117</v>
      </c>
      <c r="K260" s="165">
        <v>117</v>
      </c>
      <c r="M260" s="170"/>
    </row>
    <row r="261" spans="1:13" x14ac:dyDescent="0.4">
      <c r="A261" s="165">
        <v>117.5</v>
      </c>
      <c r="B261" s="166">
        <f t="shared" si="28"/>
        <v>117.4</v>
      </c>
      <c r="C261" s="166">
        <f t="shared" si="34"/>
        <v>190612.53906250006</v>
      </c>
      <c r="G261" s="165">
        <v>117.5</v>
      </c>
      <c r="K261" s="165">
        <v>117.5</v>
      </c>
      <c r="M261" s="170"/>
    </row>
    <row r="262" spans="1:13" x14ac:dyDescent="0.4">
      <c r="A262" s="165">
        <v>118</v>
      </c>
      <c r="B262" s="166">
        <f t="shared" si="28"/>
        <v>117.9</v>
      </c>
      <c r="C262" s="166">
        <f t="shared" si="34"/>
        <v>193877.77599999995</v>
      </c>
      <c r="G262" s="165">
        <v>118</v>
      </c>
      <c r="K262" s="165">
        <v>118</v>
      </c>
      <c r="M262" s="170"/>
    </row>
    <row r="263" spans="1:13" x14ac:dyDescent="0.4">
      <c r="A263" s="165">
        <v>118.5</v>
      </c>
      <c r="B263" s="166">
        <f t="shared" si="28"/>
        <v>118.4</v>
      </c>
      <c r="C263" s="166">
        <f t="shared" si="34"/>
        <v>197184.78506250001</v>
      </c>
      <c r="G263" s="165">
        <v>118.5</v>
      </c>
      <c r="K263" s="165">
        <v>118.5</v>
      </c>
      <c r="M263" s="170"/>
    </row>
    <row r="264" spans="1:13" x14ac:dyDescent="0.4">
      <c r="A264" s="165">
        <v>119</v>
      </c>
      <c r="B264" s="166">
        <f t="shared" si="28"/>
        <v>118.9</v>
      </c>
      <c r="C264" s="166">
        <f t="shared" si="34"/>
        <v>200533.92099999997</v>
      </c>
      <c r="G264" s="165">
        <v>119</v>
      </c>
      <c r="K264" s="165">
        <v>119</v>
      </c>
      <c r="M264" s="170"/>
    </row>
    <row r="265" spans="1:13" x14ac:dyDescent="0.4">
      <c r="A265" s="165">
        <v>119.5</v>
      </c>
      <c r="B265" s="166">
        <f t="shared" si="28"/>
        <v>119.4</v>
      </c>
      <c r="C265" s="166">
        <f t="shared" si="34"/>
        <v>203925.54006250002</v>
      </c>
      <c r="G265" s="165">
        <v>119.5</v>
      </c>
      <c r="K265" s="165">
        <v>119.5</v>
      </c>
      <c r="M265" s="170"/>
    </row>
    <row r="266" spans="1:13" x14ac:dyDescent="0.4">
      <c r="A266" s="165">
        <v>120</v>
      </c>
      <c r="B266" s="166">
        <f t="shared" si="28"/>
        <v>119.9</v>
      </c>
      <c r="C266" s="166">
        <f t="shared" si="34"/>
        <v>207360</v>
      </c>
      <c r="E266" s="166">
        <f>I266*1000</f>
        <v>128706.20689655172</v>
      </c>
      <c r="G266" s="165">
        <v>120</v>
      </c>
      <c r="I266" s="167">
        <f>(18/29)*(C266)/1000</f>
        <v>128.70620689655172</v>
      </c>
      <c r="J266" s="168">
        <f>((22.41/273)*(A266+273))*((1/29)+((1/18)*I266))</f>
        <v>231.78648563849944</v>
      </c>
      <c r="K266" s="165">
        <v>120</v>
      </c>
      <c r="M266" s="170"/>
    </row>
    <row r="267" spans="1:13" x14ac:dyDescent="0.4">
      <c r="A267" s="165">
        <v>120.5</v>
      </c>
      <c r="B267" s="166">
        <f t="shared" si="28"/>
        <v>120.4</v>
      </c>
      <c r="C267" s="166">
        <f t="shared" si="34"/>
        <v>210837.66006250001</v>
      </c>
      <c r="G267" s="165">
        <v>120.5</v>
      </c>
      <c r="K267" s="165">
        <v>120.5</v>
      </c>
      <c r="M267" s="170"/>
    </row>
    <row r="268" spans="1:13" x14ac:dyDescent="0.4">
      <c r="A268" s="165">
        <v>121</v>
      </c>
      <c r="B268" s="166">
        <f t="shared" si="28"/>
        <v>120.9</v>
      </c>
      <c r="C268" s="166">
        <f t="shared" si="34"/>
        <v>214358.88099999996</v>
      </c>
      <c r="G268" s="165">
        <v>121</v>
      </c>
      <c r="K268" s="165">
        <v>121</v>
      </c>
      <c r="M268" s="170"/>
    </row>
    <row r="269" spans="1:13" x14ac:dyDescent="0.4">
      <c r="A269" s="165">
        <v>121.5</v>
      </c>
      <c r="B269" s="166">
        <f t="shared" si="28"/>
        <v>121.4</v>
      </c>
      <c r="C269" s="166">
        <f t="shared" si="34"/>
        <v>217924.02506250003</v>
      </c>
      <c r="G269" s="165">
        <v>121.5</v>
      </c>
      <c r="K269" s="165">
        <v>121.5</v>
      </c>
      <c r="M269" s="170"/>
    </row>
    <row r="270" spans="1:13" x14ac:dyDescent="0.4">
      <c r="A270" s="165">
        <v>122</v>
      </c>
      <c r="B270" s="166">
        <f t="shared" si="28"/>
        <v>121.9</v>
      </c>
      <c r="C270" s="166">
        <f t="shared" si="34"/>
        <v>221533.45599999998</v>
      </c>
      <c r="G270" s="165">
        <v>122</v>
      </c>
      <c r="K270" s="165">
        <v>122</v>
      </c>
      <c r="M270" s="170"/>
    </row>
    <row r="271" spans="1:13" x14ac:dyDescent="0.4">
      <c r="A271" s="165">
        <v>122.5</v>
      </c>
      <c r="B271" s="166">
        <f t="shared" si="28"/>
        <v>122.4</v>
      </c>
      <c r="C271" s="166">
        <f t="shared" si="34"/>
        <v>225187.53906250009</v>
      </c>
      <c r="G271" s="165">
        <v>122.5</v>
      </c>
      <c r="K271" s="165">
        <v>122.5</v>
      </c>
      <c r="M271" s="170"/>
    </row>
    <row r="272" spans="1:13" x14ac:dyDescent="0.4">
      <c r="A272" s="165">
        <v>123</v>
      </c>
      <c r="B272" s="166">
        <f t="shared" si="28"/>
        <v>122.9</v>
      </c>
      <c r="C272" s="166">
        <f t="shared" si="34"/>
        <v>228886.64099999997</v>
      </c>
      <c r="G272" s="165">
        <v>123</v>
      </c>
      <c r="K272" s="165">
        <v>123</v>
      </c>
      <c r="M272" s="170"/>
    </row>
    <row r="273" spans="1:13" x14ac:dyDescent="0.4">
      <c r="A273" s="165">
        <v>123.5</v>
      </c>
      <c r="B273" s="166">
        <f t="shared" si="28"/>
        <v>123.4</v>
      </c>
      <c r="C273" s="166">
        <f t="shared" si="34"/>
        <v>232631.1300625001</v>
      </c>
      <c r="G273" s="165">
        <v>123.5</v>
      </c>
      <c r="K273" s="165">
        <v>123.5</v>
      </c>
      <c r="M273" s="170"/>
    </row>
    <row r="274" spans="1:13" x14ac:dyDescent="0.4">
      <c r="A274" s="165">
        <v>124</v>
      </c>
      <c r="B274" s="166">
        <f t="shared" si="28"/>
        <v>123.9</v>
      </c>
      <c r="C274" s="166">
        <f t="shared" si="34"/>
        <v>236421.37600000002</v>
      </c>
      <c r="G274" s="165">
        <v>124</v>
      </c>
      <c r="K274" s="165">
        <v>124</v>
      </c>
      <c r="M274" s="170"/>
    </row>
    <row r="275" spans="1:13" x14ac:dyDescent="0.4">
      <c r="A275" s="165">
        <v>124.5</v>
      </c>
      <c r="B275" s="166">
        <f t="shared" si="28"/>
        <v>124.4</v>
      </c>
      <c r="C275" s="166">
        <f t="shared" si="34"/>
        <v>240257.75006250004</v>
      </c>
      <c r="G275" s="165">
        <v>124.5</v>
      </c>
      <c r="K275" s="165">
        <v>124.5</v>
      </c>
      <c r="M275" s="170"/>
    </row>
    <row r="276" spans="1:13" x14ac:dyDescent="0.4">
      <c r="A276" s="165">
        <v>125</v>
      </c>
      <c r="B276" s="166">
        <f t="shared" si="28"/>
        <v>124.9</v>
      </c>
      <c r="C276" s="166">
        <f t="shared" si="34"/>
        <v>244140.625</v>
      </c>
      <c r="G276" s="165">
        <v>125</v>
      </c>
      <c r="K276" s="165">
        <v>125</v>
      </c>
      <c r="M276" s="170"/>
    </row>
    <row r="277" spans="1:13" x14ac:dyDescent="0.4">
      <c r="A277" s="165">
        <v>125.5</v>
      </c>
      <c r="B277" s="166">
        <f t="shared" si="28"/>
        <v>125.4</v>
      </c>
      <c r="C277" s="166">
        <f t="shared" si="34"/>
        <v>248070.37506249992</v>
      </c>
      <c r="G277" s="165">
        <v>125.5</v>
      </c>
      <c r="K277" s="165">
        <v>125.5</v>
      </c>
      <c r="M277" s="170"/>
    </row>
    <row r="278" spans="1:13" x14ac:dyDescent="0.4">
      <c r="A278" s="165">
        <v>126</v>
      </c>
      <c r="B278" s="166">
        <f t="shared" si="28"/>
        <v>125.9</v>
      </c>
      <c r="C278" s="166">
        <f t="shared" si="34"/>
        <v>252047.37600000002</v>
      </c>
      <c r="G278" s="165">
        <v>126</v>
      </c>
      <c r="K278" s="165">
        <v>126</v>
      </c>
      <c r="M278" s="170"/>
    </row>
    <row r="279" spans="1:13" x14ac:dyDescent="0.4">
      <c r="A279" s="165">
        <v>126.5</v>
      </c>
      <c r="B279" s="166">
        <f t="shared" si="28"/>
        <v>126.4</v>
      </c>
      <c r="C279" s="166">
        <f t="shared" si="34"/>
        <v>256072.00506249993</v>
      </c>
      <c r="G279" s="165">
        <v>126.5</v>
      </c>
      <c r="K279" s="165">
        <v>126.5</v>
      </c>
      <c r="M279" s="170"/>
    </row>
    <row r="280" spans="1:13" x14ac:dyDescent="0.4">
      <c r="A280" s="165">
        <v>127</v>
      </c>
      <c r="B280" s="166">
        <f t="shared" si="28"/>
        <v>126.9</v>
      </c>
      <c r="C280" s="166">
        <f t="shared" si="34"/>
        <v>260144.64099999997</v>
      </c>
      <c r="G280" s="165">
        <v>127</v>
      </c>
      <c r="K280" s="165">
        <v>127</v>
      </c>
      <c r="M280" s="170"/>
    </row>
    <row r="281" spans="1:13" x14ac:dyDescent="0.4">
      <c r="A281" s="165">
        <v>127.5</v>
      </c>
      <c r="B281" s="166">
        <f t="shared" si="28"/>
        <v>127.4</v>
      </c>
      <c r="C281" s="166">
        <f t="shared" si="34"/>
        <v>264265.66406249994</v>
      </c>
      <c r="G281" s="165">
        <v>127.5</v>
      </c>
      <c r="K281" s="165">
        <v>127.5</v>
      </c>
      <c r="M281" s="170"/>
    </row>
    <row r="282" spans="1:13" x14ac:dyDescent="0.4">
      <c r="A282" s="165">
        <v>128</v>
      </c>
      <c r="B282" s="166">
        <f t="shared" ref="B282:B345" si="35">A282-0.1</f>
        <v>127.9</v>
      </c>
      <c r="C282" s="166">
        <f t="shared" si="34"/>
        <v>268435.45600000001</v>
      </c>
      <c r="G282" s="165">
        <v>128</v>
      </c>
      <c r="K282" s="165">
        <v>128</v>
      </c>
      <c r="M282" s="170"/>
    </row>
    <row r="283" spans="1:13" x14ac:dyDescent="0.4">
      <c r="A283" s="165">
        <v>128.5</v>
      </c>
      <c r="B283" s="166">
        <f t="shared" si="35"/>
        <v>128.4</v>
      </c>
      <c r="C283" s="166">
        <f t="shared" si="34"/>
        <v>272654.40006249992</v>
      </c>
      <c r="G283" s="165">
        <v>128.5</v>
      </c>
      <c r="K283" s="165">
        <v>128.5</v>
      </c>
      <c r="M283" s="170"/>
    </row>
    <row r="284" spans="1:13" x14ac:dyDescent="0.4">
      <c r="A284" s="165">
        <v>129</v>
      </c>
      <c r="B284" s="166">
        <f t="shared" si="35"/>
        <v>128.9</v>
      </c>
      <c r="C284" s="166">
        <f t="shared" si="34"/>
        <v>276922.88100000005</v>
      </c>
      <c r="G284" s="165">
        <v>129</v>
      </c>
      <c r="K284" s="165">
        <v>129</v>
      </c>
      <c r="M284" s="170"/>
    </row>
    <row r="285" spans="1:13" x14ac:dyDescent="0.4">
      <c r="A285" s="165">
        <v>129.5</v>
      </c>
      <c r="B285" s="166">
        <f t="shared" si="35"/>
        <v>129.4</v>
      </c>
      <c r="C285" s="166">
        <f t="shared" si="34"/>
        <v>281241.28506249993</v>
      </c>
      <c r="G285" s="165">
        <v>129.5</v>
      </c>
      <c r="K285" s="165">
        <v>129.5</v>
      </c>
      <c r="M285" s="170"/>
    </row>
    <row r="286" spans="1:13" x14ac:dyDescent="0.4">
      <c r="A286" s="165">
        <v>130</v>
      </c>
      <c r="B286" s="166">
        <f t="shared" si="35"/>
        <v>129.9</v>
      </c>
      <c r="C286" s="166">
        <f t="shared" si="34"/>
        <v>285610.00000000006</v>
      </c>
      <c r="E286" s="166">
        <f>I286*1000</f>
        <v>177275.17241379313</v>
      </c>
      <c r="G286" s="165">
        <v>130</v>
      </c>
      <c r="I286" s="167">
        <f>(18/29)*(C286)/1000</f>
        <v>177.27517241379314</v>
      </c>
      <c r="J286" s="168">
        <f>((22.41/273)*(A286+273))*((1/29)+((1/18)*I286))</f>
        <v>326.94718078817743</v>
      </c>
      <c r="K286" s="165">
        <v>130</v>
      </c>
      <c r="M286" s="170"/>
    </row>
    <row r="287" spans="1:13" x14ac:dyDescent="0.4">
      <c r="A287" s="165">
        <v>130.5</v>
      </c>
      <c r="B287" s="166">
        <f t="shared" si="35"/>
        <v>130.4</v>
      </c>
      <c r="C287" s="166">
        <f t="shared" si="34"/>
        <v>290029.41506249993</v>
      </c>
      <c r="G287" s="165">
        <v>130.5</v>
      </c>
      <c r="K287" s="165">
        <v>130.5</v>
      </c>
      <c r="M287" s="170"/>
    </row>
    <row r="288" spans="1:13" x14ac:dyDescent="0.4">
      <c r="A288" s="165">
        <v>131</v>
      </c>
      <c r="B288" s="166">
        <f t="shared" si="35"/>
        <v>130.9</v>
      </c>
      <c r="C288" s="166">
        <f t="shared" si="34"/>
        <v>294499.92100000009</v>
      </c>
      <c r="G288" s="165">
        <v>131</v>
      </c>
      <c r="K288" s="165">
        <v>131</v>
      </c>
      <c r="M288" s="170"/>
    </row>
    <row r="289" spans="1:13" x14ac:dyDescent="0.4">
      <c r="A289" s="165">
        <v>131.5</v>
      </c>
      <c r="B289" s="166">
        <f t="shared" si="35"/>
        <v>131.4</v>
      </c>
      <c r="C289" s="166">
        <f t="shared" si="34"/>
        <v>299021.91006249993</v>
      </c>
      <c r="G289" s="165">
        <v>131.5</v>
      </c>
      <c r="K289" s="165">
        <v>131.5</v>
      </c>
      <c r="M289" s="170"/>
    </row>
    <row r="290" spans="1:13" x14ac:dyDescent="0.4">
      <c r="A290" s="165">
        <v>132</v>
      </c>
      <c r="B290" s="166">
        <f t="shared" si="35"/>
        <v>131.9</v>
      </c>
      <c r="C290" s="166">
        <f t="shared" si="34"/>
        <v>303595.77600000007</v>
      </c>
      <c r="G290" s="165">
        <v>132</v>
      </c>
      <c r="K290" s="165">
        <v>132</v>
      </c>
      <c r="M290" s="170"/>
    </row>
    <row r="291" spans="1:13" x14ac:dyDescent="0.4">
      <c r="A291" s="165">
        <v>132.5</v>
      </c>
      <c r="B291" s="166">
        <f t="shared" si="35"/>
        <v>132.4</v>
      </c>
      <c r="C291" s="166">
        <f t="shared" ref="C291:C354" si="36">((A291/100)^4)*100000</f>
        <v>308221.9140625</v>
      </c>
      <c r="G291" s="165">
        <v>132.5</v>
      </c>
      <c r="K291" s="165">
        <v>132.5</v>
      </c>
      <c r="M291" s="170"/>
    </row>
    <row r="292" spans="1:13" x14ac:dyDescent="0.4">
      <c r="A292" s="165">
        <v>133</v>
      </c>
      <c r="B292" s="166">
        <f t="shared" si="35"/>
        <v>132.9</v>
      </c>
      <c r="C292" s="166">
        <f t="shared" si="36"/>
        <v>312900.72100000008</v>
      </c>
      <c r="G292" s="165">
        <v>133</v>
      </c>
      <c r="K292" s="165">
        <v>133</v>
      </c>
      <c r="M292" s="170"/>
    </row>
    <row r="293" spans="1:13" x14ac:dyDescent="0.4">
      <c r="A293" s="165">
        <v>133.5</v>
      </c>
      <c r="B293" s="166">
        <f t="shared" si="35"/>
        <v>133.4</v>
      </c>
      <c r="C293" s="166">
        <f t="shared" si="36"/>
        <v>317632.59506249998</v>
      </c>
      <c r="G293" s="165">
        <v>133.5</v>
      </c>
      <c r="K293" s="165">
        <v>133.5</v>
      </c>
      <c r="M293" s="170"/>
    </row>
    <row r="294" spans="1:13" x14ac:dyDescent="0.4">
      <c r="A294" s="165">
        <v>134</v>
      </c>
      <c r="B294" s="166">
        <f t="shared" si="35"/>
        <v>133.9</v>
      </c>
      <c r="C294" s="166">
        <f t="shared" si="36"/>
        <v>322417.9360000001</v>
      </c>
      <c r="G294" s="165">
        <v>134</v>
      </c>
      <c r="K294" s="165">
        <v>134</v>
      </c>
      <c r="M294" s="170"/>
    </row>
    <row r="295" spans="1:13" x14ac:dyDescent="0.4">
      <c r="A295" s="165">
        <v>134.5</v>
      </c>
      <c r="B295" s="166">
        <f t="shared" si="35"/>
        <v>134.4</v>
      </c>
      <c r="C295" s="166">
        <f t="shared" si="36"/>
        <v>327257.14506249997</v>
      </c>
      <c r="G295" s="165">
        <v>134.5</v>
      </c>
      <c r="K295" s="165">
        <v>134.5</v>
      </c>
      <c r="M295" s="170"/>
    </row>
    <row r="296" spans="1:13" x14ac:dyDescent="0.4">
      <c r="A296" s="165">
        <v>135</v>
      </c>
      <c r="B296" s="166">
        <f t="shared" si="35"/>
        <v>134.9</v>
      </c>
      <c r="C296" s="166">
        <f t="shared" si="36"/>
        <v>332150.62500000012</v>
      </c>
      <c r="G296" s="165">
        <v>135</v>
      </c>
      <c r="K296" s="165">
        <v>135</v>
      </c>
      <c r="M296" s="170"/>
    </row>
    <row r="297" spans="1:13" x14ac:dyDescent="0.4">
      <c r="A297" s="165">
        <v>135.5</v>
      </c>
      <c r="B297" s="166">
        <f t="shared" si="35"/>
        <v>135.4</v>
      </c>
      <c r="C297" s="166">
        <f t="shared" si="36"/>
        <v>337098.78006249998</v>
      </c>
      <c r="G297" s="165">
        <v>135.5</v>
      </c>
      <c r="K297" s="165">
        <v>135.5</v>
      </c>
      <c r="M297" s="170"/>
    </row>
    <row r="298" spans="1:13" x14ac:dyDescent="0.4">
      <c r="A298" s="165">
        <v>136</v>
      </c>
      <c r="B298" s="166">
        <f t="shared" si="35"/>
        <v>135.9</v>
      </c>
      <c r="C298" s="166">
        <f t="shared" si="36"/>
        <v>342102.01600000012</v>
      </c>
      <c r="G298" s="165">
        <v>136</v>
      </c>
      <c r="K298" s="165">
        <v>136</v>
      </c>
      <c r="M298" s="170"/>
    </row>
    <row r="299" spans="1:13" x14ac:dyDescent="0.4">
      <c r="A299" s="165">
        <v>136.5</v>
      </c>
      <c r="B299" s="166">
        <f t="shared" si="35"/>
        <v>136.4</v>
      </c>
      <c r="C299" s="166">
        <f t="shared" si="36"/>
        <v>347160.74006249994</v>
      </c>
      <c r="G299" s="165">
        <v>136.5</v>
      </c>
      <c r="K299" s="165">
        <v>136.5</v>
      </c>
      <c r="M299" s="170"/>
    </row>
    <row r="300" spans="1:13" x14ac:dyDescent="0.4">
      <c r="A300" s="165">
        <v>137</v>
      </c>
      <c r="B300" s="166">
        <f t="shared" si="35"/>
        <v>136.9</v>
      </c>
      <c r="C300" s="166">
        <f t="shared" si="36"/>
        <v>352275.36100000009</v>
      </c>
      <c r="G300" s="165">
        <v>137</v>
      </c>
      <c r="K300" s="165">
        <v>137</v>
      </c>
      <c r="M300" s="170"/>
    </row>
    <row r="301" spans="1:13" x14ac:dyDescent="0.4">
      <c r="A301" s="165">
        <v>137.5</v>
      </c>
      <c r="B301" s="166">
        <f t="shared" si="35"/>
        <v>137.4</v>
      </c>
      <c r="C301" s="166">
        <f t="shared" si="36"/>
        <v>357446.2890625</v>
      </c>
      <c r="G301" s="165">
        <v>137.5</v>
      </c>
      <c r="K301" s="165">
        <v>137.5</v>
      </c>
      <c r="M301" s="170"/>
    </row>
    <row r="302" spans="1:13" x14ac:dyDescent="0.4">
      <c r="A302" s="165">
        <v>138</v>
      </c>
      <c r="B302" s="166">
        <f t="shared" si="35"/>
        <v>137.9</v>
      </c>
      <c r="C302" s="166">
        <f t="shared" si="36"/>
        <v>362673.93599999987</v>
      </c>
      <c r="G302" s="165">
        <v>138</v>
      </c>
      <c r="K302" s="165">
        <v>138</v>
      </c>
      <c r="L302" s="169"/>
      <c r="M302" s="170"/>
    </row>
    <row r="303" spans="1:13" x14ac:dyDescent="0.4">
      <c r="A303" s="165">
        <v>138.5</v>
      </c>
      <c r="B303" s="166">
        <f t="shared" si="35"/>
        <v>138.4</v>
      </c>
      <c r="C303" s="166">
        <f t="shared" si="36"/>
        <v>367958.71506250004</v>
      </c>
      <c r="G303" s="165">
        <v>138.5</v>
      </c>
      <c r="K303" s="165">
        <v>138.5</v>
      </c>
      <c r="M303" s="170"/>
    </row>
    <row r="304" spans="1:13" x14ac:dyDescent="0.4">
      <c r="A304" s="165">
        <v>139</v>
      </c>
      <c r="B304" s="166">
        <f t="shared" si="35"/>
        <v>138.9</v>
      </c>
      <c r="C304" s="166">
        <f t="shared" si="36"/>
        <v>373301.04099999991</v>
      </c>
      <c r="G304" s="165">
        <v>139</v>
      </c>
      <c r="K304" s="165">
        <v>139</v>
      </c>
      <c r="M304" s="170"/>
    </row>
    <row r="305" spans="1:13" x14ac:dyDescent="0.4">
      <c r="A305" s="165">
        <v>139.5</v>
      </c>
      <c r="B305" s="166">
        <f t="shared" si="35"/>
        <v>139.4</v>
      </c>
      <c r="C305" s="166">
        <f t="shared" si="36"/>
        <v>378701.33006250003</v>
      </c>
      <c r="G305" s="165">
        <v>139.5</v>
      </c>
      <c r="K305" s="165">
        <v>139.5</v>
      </c>
      <c r="M305" s="170"/>
    </row>
    <row r="306" spans="1:13" x14ac:dyDescent="0.4">
      <c r="A306" s="165">
        <v>140</v>
      </c>
      <c r="B306" s="166">
        <f t="shared" si="35"/>
        <v>139.9</v>
      </c>
      <c r="C306" s="166">
        <f t="shared" si="36"/>
        <v>384159.99999999988</v>
      </c>
      <c r="E306" s="166">
        <f>I306*1000</f>
        <v>238444.13793103441</v>
      </c>
      <c r="G306" s="165">
        <v>140</v>
      </c>
      <c r="I306" s="167">
        <f>(18/29)*(C306)/1000</f>
        <v>238.44413793103442</v>
      </c>
      <c r="J306" s="168">
        <f>((22.41/273)*(A306+273))*((1/29)+((1/18)*I306))</f>
        <v>450.26940795755962</v>
      </c>
      <c r="K306" s="165">
        <v>140</v>
      </c>
      <c r="M306" s="170"/>
    </row>
    <row r="307" spans="1:13" x14ac:dyDescent="0.4">
      <c r="A307" s="165">
        <v>140.5</v>
      </c>
      <c r="B307" s="166">
        <f t="shared" si="35"/>
        <v>140.4</v>
      </c>
      <c r="C307" s="166">
        <f t="shared" si="36"/>
        <v>389677.47006250004</v>
      </c>
      <c r="G307" s="165">
        <v>140.5</v>
      </c>
      <c r="K307" s="165">
        <v>140.5</v>
      </c>
      <c r="M307" s="170"/>
    </row>
    <row r="308" spans="1:13" x14ac:dyDescent="0.4">
      <c r="A308" s="165">
        <v>141</v>
      </c>
      <c r="B308" s="166">
        <f t="shared" si="35"/>
        <v>140.9</v>
      </c>
      <c r="C308" s="166">
        <f t="shared" si="36"/>
        <v>395254.16099999991</v>
      </c>
      <c r="G308" s="165">
        <v>141</v>
      </c>
      <c r="K308" s="165">
        <v>141</v>
      </c>
      <c r="M308" s="170"/>
    </row>
    <row r="309" spans="1:13" x14ac:dyDescent="0.4">
      <c r="A309" s="165">
        <v>141.5</v>
      </c>
      <c r="B309" s="166">
        <f t="shared" si="35"/>
        <v>141.4</v>
      </c>
      <c r="C309" s="166">
        <f t="shared" si="36"/>
        <v>400890.49506250001</v>
      </c>
      <c r="G309" s="165">
        <v>141.5</v>
      </c>
      <c r="K309" s="165">
        <v>141.5</v>
      </c>
      <c r="M309" s="170"/>
    </row>
    <row r="310" spans="1:13" x14ac:dyDescent="0.4">
      <c r="A310" s="165">
        <v>142</v>
      </c>
      <c r="B310" s="166">
        <f t="shared" si="35"/>
        <v>141.9</v>
      </c>
      <c r="C310" s="166">
        <f t="shared" si="36"/>
        <v>406586.89599999995</v>
      </c>
      <c r="G310" s="165">
        <v>142</v>
      </c>
      <c r="K310" s="165">
        <v>142</v>
      </c>
      <c r="M310" s="170"/>
    </row>
    <row r="311" spans="1:13" x14ac:dyDescent="0.4">
      <c r="A311" s="165">
        <v>142.5</v>
      </c>
      <c r="B311" s="166">
        <f t="shared" si="35"/>
        <v>142.4</v>
      </c>
      <c r="C311" s="166">
        <f t="shared" si="36"/>
        <v>412343.78906250006</v>
      </c>
      <c r="G311" s="165">
        <v>142.5</v>
      </c>
      <c r="K311" s="165">
        <v>142.5</v>
      </c>
      <c r="M311" s="170"/>
    </row>
    <row r="312" spans="1:13" x14ac:dyDescent="0.4">
      <c r="A312" s="165">
        <v>143</v>
      </c>
      <c r="B312" s="166">
        <f t="shared" si="35"/>
        <v>142.9</v>
      </c>
      <c r="C312" s="166">
        <f t="shared" si="36"/>
        <v>418161.60099999991</v>
      </c>
      <c r="G312" s="165">
        <v>143</v>
      </c>
      <c r="K312" s="165">
        <v>143</v>
      </c>
      <c r="M312" s="170"/>
    </row>
    <row r="313" spans="1:13" x14ac:dyDescent="0.4">
      <c r="A313" s="165">
        <v>143.5</v>
      </c>
      <c r="B313" s="166">
        <f t="shared" si="35"/>
        <v>143.4</v>
      </c>
      <c r="C313" s="166">
        <f t="shared" si="36"/>
        <v>424040.76006250008</v>
      </c>
      <c r="G313" s="165">
        <v>143.5</v>
      </c>
      <c r="K313" s="165">
        <v>143.5</v>
      </c>
      <c r="M313" s="170"/>
    </row>
    <row r="314" spans="1:13" x14ac:dyDescent="0.4">
      <c r="A314" s="165">
        <v>144</v>
      </c>
      <c r="B314" s="166">
        <f t="shared" si="35"/>
        <v>143.9</v>
      </c>
      <c r="C314" s="166">
        <f t="shared" si="36"/>
        <v>429981.69599999994</v>
      </c>
      <c r="G314" s="165">
        <v>144</v>
      </c>
      <c r="K314" s="165">
        <v>144</v>
      </c>
      <c r="M314" s="170"/>
    </row>
    <row r="315" spans="1:13" x14ac:dyDescent="0.4">
      <c r="A315" s="165">
        <v>144.5</v>
      </c>
      <c r="B315" s="166">
        <f t="shared" si="35"/>
        <v>144.4</v>
      </c>
      <c r="C315" s="166">
        <f t="shared" si="36"/>
        <v>435984.84006250004</v>
      </c>
      <c r="G315" s="165">
        <v>144.5</v>
      </c>
      <c r="K315" s="165">
        <v>144.5</v>
      </c>
      <c r="M315" s="170"/>
    </row>
    <row r="316" spans="1:13" x14ac:dyDescent="0.4">
      <c r="A316" s="165">
        <v>145</v>
      </c>
      <c r="B316" s="166">
        <f t="shared" si="35"/>
        <v>144.9</v>
      </c>
      <c r="C316" s="166">
        <f t="shared" si="36"/>
        <v>442050.625</v>
      </c>
      <c r="G316" s="165">
        <v>145</v>
      </c>
      <c r="K316" s="165">
        <v>145</v>
      </c>
      <c r="M316" s="170"/>
    </row>
    <row r="317" spans="1:13" x14ac:dyDescent="0.4">
      <c r="A317" s="165">
        <v>145.5</v>
      </c>
      <c r="B317" s="166">
        <f t="shared" si="35"/>
        <v>145.4</v>
      </c>
      <c r="C317" s="166">
        <f t="shared" si="36"/>
        <v>448179.48506250011</v>
      </c>
      <c r="G317" s="165">
        <v>145.5</v>
      </c>
      <c r="K317" s="165">
        <v>145.5</v>
      </c>
      <c r="M317" s="170"/>
    </row>
    <row r="318" spans="1:13" x14ac:dyDescent="0.4">
      <c r="A318" s="165">
        <v>146</v>
      </c>
      <c r="B318" s="166">
        <f t="shared" si="35"/>
        <v>145.9</v>
      </c>
      <c r="C318" s="166">
        <f t="shared" si="36"/>
        <v>454371.85599999985</v>
      </c>
      <c r="G318" s="165">
        <v>146</v>
      </c>
      <c r="K318" s="165">
        <v>146</v>
      </c>
      <c r="M318" s="170"/>
    </row>
    <row r="319" spans="1:13" x14ac:dyDescent="0.4">
      <c r="A319" s="165">
        <v>146.5</v>
      </c>
      <c r="B319" s="166">
        <f t="shared" si="35"/>
        <v>146.4</v>
      </c>
      <c r="C319" s="166">
        <f t="shared" si="36"/>
        <v>460628.17506250012</v>
      </c>
      <c r="G319" s="165">
        <v>146.5</v>
      </c>
      <c r="K319" s="165">
        <v>146.5</v>
      </c>
      <c r="M319" s="170"/>
    </row>
    <row r="320" spans="1:13" x14ac:dyDescent="0.4">
      <c r="A320" s="165">
        <v>147</v>
      </c>
      <c r="B320" s="166">
        <f t="shared" si="35"/>
        <v>146.9</v>
      </c>
      <c r="C320" s="166">
        <f t="shared" si="36"/>
        <v>466948.88099999988</v>
      </c>
      <c r="G320" s="165">
        <v>147</v>
      </c>
      <c r="K320" s="165">
        <v>147</v>
      </c>
      <c r="M320" s="170"/>
    </row>
    <row r="321" spans="1:13" x14ac:dyDescent="0.4">
      <c r="A321" s="165">
        <v>147.5</v>
      </c>
      <c r="B321" s="166">
        <f t="shared" si="35"/>
        <v>147.4</v>
      </c>
      <c r="C321" s="166">
        <f t="shared" si="36"/>
        <v>473334.41406250006</v>
      </c>
      <c r="G321" s="165">
        <v>147.5</v>
      </c>
      <c r="K321" s="165">
        <v>147.5</v>
      </c>
      <c r="M321" s="170"/>
    </row>
    <row r="322" spans="1:13" x14ac:dyDescent="0.4">
      <c r="A322" s="165">
        <v>148</v>
      </c>
      <c r="B322" s="166">
        <f t="shared" si="35"/>
        <v>147.9</v>
      </c>
      <c r="C322" s="166">
        <f t="shared" si="36"/>
        <v>479785.21599999996</v>
      </c>
      <c r="G322" s="165">
        <v>148</v>
      </c>
      <c r="K322" s="165">
        <v>148</v>
      </c>
      <c r="M322" s="170"/>
    </row>
    <row r="323" spans="1:13" x14ac:dyDescent="0.4">
      <c r="A323" s="165">
        <v>148.5</v>
      </c>
      <c r="B323" s="166">
        <f t="shared" si="35"/>
        <v>148.4</v>
      </c>
      <c r="C323" s="166">
        <f t="shared" si="36"/>
        <v>486301.73006250017</v>
      </c>
      <c r="G323" s="165">
        <v>148.5</v>
      </c>
      <c r="K323" s="165">
        <v>148.5</v>
      </c>
      <c r="M323" s="170"/>
    </row>
    <row r="324" spans="1:13" x14ac:dyDescent="0.4">
      <c r="A324" s="165">
        <v>149</v>
      </c>
      <c r="B324" s="166">
        <f t="shared" si="35"/>
        <v>148.9</v>
      </c>
      <c r="C324" s="166">
        <f t="shared" si="36"/>
        <v>492884.40099999995</v>
      </c>
      <c r="G324" s="165">
        <v>149</v>
      </c>
      <c r="K324" s="165">
        <v>149</v>
      </c>
      <c r="M324" s="170"/>
    </row>
    <row r="325" spans="1:13" x14ac:dyDescent="0.4">
      <c r="A325" s="165">
        <v>149.5</v>
      </c>
      <c r="B325" s="166">
        <f t="shared" si="35"/>
        <v>149.4</v>
      </c>
      <c r="C325" s="166">
        <f t="shared" si="36"/>
        <v>499533.67506250012</v>
      </c>
      <c r="G325" s="165">
        <v>149.5</v>
      </c>
      <c r="K325" s="165">
        <v>149.5</v>
      </c>
      <c r="M325" s="170"/>
    </row>
    <row r="326" spans="1:13" x14ac:dyDescent="0.4">
      <c r="A326" s="165">
        <v>150</v>
      </c>
      <c r="B326" s="166">
        <f t="shared" si="35"/>
        <v>149.9</v>
      </c>
      <c r="C326" s="166">
        <f t="shared" si="36"/>
        <v>506250</v>
      </c>
      <c r="E326" s="166">
        <f>I326*1000</f>
        <v>314224.13793103449</v>
      </c>
      <c r="G326" s="165">
        <v>150</v>
      </c>
      <c r="I326" s="167">
        <f>(18/29)*(C326)/1000</f>
        <v>314.22413793103448</v>
      </c>
      <c r="J326" s="168">
        <f>((22.41/273)*(A326+273))*((1/29)+((1/18)*I326))</f>
        <v>607.35643141341416</v>
      </c>
      <c r="K326" s="165">
        <v>150</v>
      </c>
      <c r="M326" s="170"/>
    </row>
    <row r="327" spans="1:13" x14ac:dyDescent="0.4">
      <c r="A327" s="165">
        <v>150.5</v>
      </c>
      <c r="B327" s="166">
        <f t="shared" si="35"/>
        <v>150.4</v>
      </c>
      <c r="C327" s="166">
        <f t="shared" si="36"/>
        <v>513033.82506249979</v>
      </c>
      <c r="G327" s="165">
        <v>150.5</v>
      </c>
      <c r="K327" s="165">
        <v>150.5</v>
      </c>
      <c r="M327" s="170"/>
    </row>
    <row r="328" spans="1:13" x14ac:dyDescent="0.4">
      <c r="A328" s="165">
        <v>151</v>
      </c>
      <c r="B328" s="166">
        <f t="shared" si="35"/>
        <v>150.9</v>
      </c>
      <c r="C328" s="166">
        <f t="shared" si="36"/>
        <v>519885.60100000002</v>
      </c>
      <c r="G328" s="165">
        <v>151</v>
      </c>
      <c r="K328" s="165">
        <v>151</v>
      </c>
      <c r="M328" s="170"/>
    </row>
    <row r="329" spans="1:13" x14ac:dyDescent="0.4">
      <c r="A329" s="165">
        <v>151.5</v>
      </c>
      <c r="B329" s="166">
        <f t="shared" si="35"/>
        <v>151.4</v>
      </c>
      <c r="C329" s="166">
        <f t="shared" si="36"/>
        <v>526805.78006249992</v>
      </c>
      <c r="G329" s="165">
        <v>151.5</v>
      </c>
      <c r="K329" s="165">
        <v>151.5</v>
      </c>
      <c r="M329" s="170"/>
    </row>
    <row r="330" spans="1:13" x14ac:dyDescent="0.4">
      <c r="A330" s="165">
        <v>152</v>
      </c>
      <c r="B330" s="166">
        <f t="shared" si="35"/>
        <v>151.9</v>
      </c>
      <c r="C330" s="166">
        <f t="shared" si="36"/>
        <v>533794.81599999999</v>
      </c>
      <c r="G330" s="165">
        <v>152</v>
      </c>
      <c r="K330" s="165">
        <v>152</v>
      </c>
      <c r="M330" s="170"/>
    </row>
    <row r="331" spans="1:13" x14ac:dyDescent="0.4">
      <c r="A331" s="165">
        <v>152.5</v>
      </c>
      <c r="B331" s="166">
        <f t="shared" si="35"/>
        <v>152.4</v>
      </c>
      <c r="C331" s="166">
        <f t="shared" si="36"/>
        <v>540853.16406249988</v>
      </c>
      <c r="G331" s="165">
        <v>152.5</v>
      </c>
      <c r="K331" s="165">
        <v>152.5</v>
      </c>
      <c r="M331" s="170"/>
    </row>
    <row r="332" spans="1:13" x14ac:dyDescent="0.4">
      <c r="A332" s="165">
        <v>153</v>
      </c>
      <c r="B332" s="166">
        <f t="shared" si="35"/>
        <v>152.9</v>
      </c>
      <c r="C332" s="166">
        <f t="shared" si="36"/>
        <v>547981.28100000008</v>
      </c>
      <c r="G332" s="165">
        <v>153</v>
      </c>
      <c r="K332" s="165">
        <v>153</v>
      </c>
      <c r="M332" s="170"/>
    </row>
    <row r="333" spans="1:13" x14ac:dyDescent="0.4">
      <c r="A333" s="165">
        <v>153.5</v>
      </c>
      <c r="B333" s="166">
        <f t="shared" si="35"/>
        <v>153.4</v>
      </c>
      <c r="C333" s="166">
        <f t="shared" si="36"/>
        <v>555179.62506249989</v>
      </c>
      <c r="G333" s="165">
        <v>153.5</v>
      </c>
      <c r="K333" s="165">
        <v>153.5</v>
      </c>
      <c r="M333" s="170"/>
    </row>
    <row r="334" spans="1:13" x14ac:dyDescent="0.4">
      <c r="A334" s="165">
        <v>154</v>
      </c>
      <c r="B334" s="166">
        <f t="shared" si="35"/>
        <v>153.9</v>
      </c>
      <c r="C334" s="166">
        <f t="shared" si="36"/>
        <v>562448.65599999996</v>
      </c>
      <c r="G334" s="165">
        <v>154</v>
      </c>
      <c r="K334" s="165">
        <v>154</v>
      </c>
      <c r="M334" s="170"/>
    </row>
    <row r="335" spans="1:13" x14ac:dyDescent="0.4">
      <c r="A335" s="165">
        <v>154.5</v>
      </c>
      <c r="B335" s="166">
        <f t="shared" si="35"/>
        <v>154.4</v>
      </c>
      <c r="C335" s="166">
        <f t="shared" si="36"/>
        <v>569788.83506249997</v>
      </c>
      <c r="G335" s="165">
        <v>154.5</v>
      </c>
      <c r="K335" s="165">
        <v>154.5</v>
      </c>
      <c r="M335" s="170"/>
    </row>
    <row r="336" spans="1:13" x14ac:dyDescent="0.4">
      <c r="A336" s="165">
        <v>155</v>
      </c>
      <c r="B336" s="166">
        <f t="shared" si="35"/>
        <v>154.9</v>
      </c>
      <c r="C336" s="166">
        <f t="shared" si="36"/>
        <v>577200.62500000012</v>
      </c>
      <c r="G336" s="165">
        <v>155</v>
      </c>
      <c r="K336" s="165">
        <v>155</v>
      </c>
      <c r="M336" s="170"/>
    </row>
    <row r="337" spans="1:13" x14ac:dyDescent="0.4">
      <c r="A337" s="165">
        <v>155.5</v>
      </c>
      <c r="B337" s="166">
        <f t="shared" si="35"/>
        <v>155.4</v>
      </c>
      <c r="C337" s="166">
        <f t="shared" si="36"/>
        <v>584684.49006249988</v>
      </c>
      <c r="G337" s="165">
        <v>155.5</v>
      </c>
      <c r="K337" s="165">
        <v>155.5</v>
      </c>
      <c r="M337" s="170"/>
    </row>
    <row r="338" spans="1:13" x14ac:dyDescent="0.4">
      <c r="A338" s="165">
        <v>156</v>
      </c>
      <c r="B338" s="166">
        <f t="shared" si="35"/>
        <v>155.9</v>
      </c>
      <c r="C338" s="166">
        <f t="shared" si="36"/>
        <v>592240.89600000007</v>
      </c>
      <c r="G338" s="165">
        <v>156</v>
      </c>
      <c r="K338" s="165">
        <v>156</v>
      </c>
      <c r="M338" s="170"/>
    </row>
    <row r="339" spans="1:13" x14ac:dyDescent="0.4">
      <c r="A339" s="165">
        <v>156.5</v>
      </c>
      <c r="B339" s="166">
        <f t="shared" si="35"/>
        <v>156.4</v>
      </c>
      <c r="C339" s="166">
        <f t="shared" si="36"/>
        <v>599870.31006249983</v>
      </c>
      <c r="G339" s="165">
        <v>156.5</v>
      </c>
      <c r="K339" s="165">
        <v>156.5</v>
      </c>
      <c r="M339" s="170"/>
    </row>
    <row r="340" spans="1:13" x14ac:dyDescent="0.4">
      <c r="A340" s="165">
        <v>157</v>
      </c>
      <c r="B340" s="166">
        <f t="shared" si="35"/>
        <v>156.9</v>
      </c>
      <c r="C340" s="166">
        <f t="shared" si="36"/>
        <v>607573.201</v>
      </c>
      <c r="G340" s="165">
        <v>157</v>
      </c>
      <c r="K340" s="165">
        <v>157</v>
      </c>
      <c r="M340" s="170"/>
    </row>
    <row r="341" spans="1:13" x14ac:dyDescent="0.4">
      <c r="A341" s="165">
        <v>157.5</v>
      </c>
      <c r="B341" s="166">
        <f t="shared" si="35"/>
        <v>157.4</v>
      </c>
      <c r="C341" s="166">
        <f t="shared" si="36"/>
        <v>615350.03906249988</v>
      </c>
      <c r="G341" s="165">
        <v>157.5</v>
      </c>
      <c r="K341" s="165">
        <v>157.5</v>
      </c>
      <c r="M341" s="170"/>
    </row>
    <row r="342" spans="1:13" x14ac:dyDescent="0.4">
      <c r="A342" s="165">
        <v>158</v>
      </c>
      <c r="B342" s="166">
        <f t="shared" si="35"/>
        <v>157.9</v>
      </c>
      <c r="C342" s="166">
        <f t="shared" si="36"/>
        <v>623201.29600000021</v>
      </c>
      <c r="G342" s="165">
        <v>158</v>
      </c>
      <c r="K342" s="165">
        <v>158</v>
      </c>
      <c r="M342" s="170"/>
    </row>
    <row r="343" spans="1:13" x14ac:dyDescent="0.4">
      <c r="A343" s="165">
        <v>158.5</v>
      </c>
      <c r="B343" s="166">
        <f t="shared" si="35"/>
        <v>158.4</v>
      </c>
      <c r="C343" s="166">
        <f t="shared" si="36"/>
        <v>631127.44506249996</v>
      </c>
      <c r="G343" s="165">
        <v>158.5</v>
      </c>
      <c r="K343" s="165">
        <v>158.5</v>
      </c>
      <c r="M343" s="170"/>
    </row>
    <row r="344" spans="1:13" x14ac:dyDescent="0.4">
      <c r="A344" s="165">
        <v>159</v>
      </c>
      <c r="B344" s="166">
        <f t="shared" si="35"/>
        <v>158.9</v>
      </c>
      <c r="C344" s="166">
        <f t="shared" si="36"/>
        <v>639128.96100000013</v>
      </c>
      <c r="G344" s="165">
        <v>159</v>
      </c>
      <c r="K344" s="165">
        <v>159</v>
      </c>
      <c r="M344" s="170"/>
    </row>
    <row r="345" spans="1:13" x14ac:dyDescent="0.4">
      <c r="A345" s="165">
        <v>159.5</v>
      </c>
      <c r="B345" s="166">
        <f t="shared" si="35"/>
        <v>159.4</v>
      </c>
      <c r="C345" s="166">
        <f t="shared" si="36"/>
        <v>647206.32006249996</v>
      </c>
      <c r="G345" s="165">
        <v>159.5</v>
      </c>
      <c r="K345" s="165">
        <v>159.5</v>
      </c>
      <c r="M345" s="170"/>
    </row>
    <row r="346" spans="1:13" x14ac:dyDescent="0.4">
      <c r="A346" s="165">
        <v>160</v>
      </c>
      <c r="B346" s="166">
        <f t="shared" ref="B346:B409" si="37">A346-0.1</f>
        <v>159.9</v>
      </c>
      <c r="C346" s="166">
        <f t="shared" si="36"/>
        <v>655360.00000000035</v>
      </c>
      <c r="E346" s="166">
        <f>I346*1000</f>
        <v>406775.17241379333</v>
      </c>
      <c r="G346" s="165">
        <v>160</v>
      </c>
      <c r="I346" s="167">
        <f>(18/29)*(C346)/1000</f>
        <v>406.77517241379331</v>
      </c>
      <c r="J346" s="168">
        <f>((22.41/273)*(A346+273))*((1/29)+((1/18)*I346))</f>
        <v>804.47252125805267</v>
      </c>
      <c r="K346" s="165">
        <v>160</v>
      </c>
      <c r="M346" s="170"/>
    </row>
    <row r="347" spans="1:13" x14ac:dyDescent="0.4">
      <c r="A347" s="165">
        <v>160.5</v>
      </c>
      <c r="B347" s="166">
        <f t="shared" si="37"/>
        <v>160.4</v>
      </c>
      <c r="C347" s="166">
        <f t="shared" si="36"/>
        <v>663590.48006249999</v>
      </c>
      <c r="G347" s="165">
        <v>160.5</v>
      </c>
      <c r="K347" s="165">
        <v>160.5</v>
      </c>
      <c r="M347" s="170"/>
    </row>
    <row r="348" spans="1:13" x14ac:dyDescent="0.4">
      <c r="A348" s="165">
        <v>161</v>
      </c>
      <c r="B348" s="166">
        <f t="shared" si="37"/>
        <v>160.9</v>
      </c>
      <c r="C348" s="166">
        <f t="shared" si="36"/>
        <v>671898.24100000015</v>
      </c>
      <c r="G348" s="165">
        <v>161</v>
      </c>
      <c r="K348" s="165">
        <v>161</v>
      </c>
      <c r="M348" s="170"/>
    </row>
    <row r="349" spans="1:13" x14ac:dyDescent="0.4">
      <c r="A349" s="165">
        <v>161.5</v>
      </c>
      <c r="B349" s="166">
        <f t="shared" si="37"/>
        <v>161.4</v>
      </c>
      <c r="C349" s="166">
        <f t="shared" si="36"/>
        <v>680283.76506250002</v>
      </c>
      <c r="G349" s="165">
        <v>161.5</v>
      </c>
      <c r="K349" s="165">
        <v>161.5</v>
      </c>
      <c r="M349" s="170"/>
    </row>
    <row r="350" spans="1:13" x14ac:dyDescent="0.4">
      <c r="A350" s="165">
        <v>162</v>
      </c>
      <c r="B350" s="166">
        <f t="shared" si="37"/>
        <v>161.9</v>
      </c>
      <c r="C350" s="166">
        <f t="shared" si="36"/>
        <v>688747.5360000002</v>
      </c>
      <c r="G350" s="165">
        <v>162</v>
      </c>
      <c r="K350" s="165">
        <v>162</v>
      </c>
      <c r="M350" s="170"/>
    </row>
    <row r="351" spans="1:13" x14ac:dyDescent="0.4">
      <c r="A351" s="165">
        <v>162.5</v>
      </c>
      <c r="B351" s="166">
        <f t="shared" si="37"/>
        <v>162.4</v>
      </c>
      <c r="C351" s="166">
        <f t="shared" si="36"/>
        <v>697290.0390625</v>
      </c>
      <c r="G351" s="165">
        <v>162.5</v>
      </c>
      <c r="K351" s="165">
        <v>162.5</v>
      </c>
      <c r="M351" s="170"/>
    </row>
    <row r="352" spans="1:13" x14ac:dyDescent="0.4">
      <c r="A352" s="165">
        <v>163</v>
      </c>
      <c r="B352" s="166">
        <f t="shared" si="37"/>
        <v>162.9</v>
      </c>
      <c r="C352" s="166">
        <f t="shared" si="36"/>
        <v>705911.76099999982</v>
      </c>
      <c r="G352" s="165">
        <v>163</v>
      </c>
      <c r="K352" s="165">
        <v>163</v>
      </c>
      <c r="M352" s="170"/>
    </row>
    <row r="353" spans="1:13" x14ac:dyDescent="0.4">
      <c r="A353" s="165">
        <v>163.5</v>
      </c>
      <c r="B353" s="166">
        <f t="shared" si="37"/>
        <v>163.4</v>
      </c>
      <c r="C353" s="166">
        <f t="shared" si="36"/>
        <v>714613.19006249995</v>
      </c>
      <c r="G353" s="165">
        <v>163.5</v>
      </c>
      <c r="K353" s="165">
        <v>163.5</v>
      </c>
      <c r="M353" s="170"/>
    </row>
    <row r="354" spans="1:13" x14ac:dyDescent="0.4">
      <c r="A354" s="165">
        <v>164</v>
      </c>
      <c r="B354" s="166">
        <f t="shared" si="37"/>
        <v>163.9</v>
      </c>
      <c r="C354" s="166">
        <f t="shared" si="36"/>
        <v>723394.81599999976</v>
      </c>
      <c r="G354" s="165">
        <v>164</v>
      </c>
      <c r="K354" s="165">
        <v>164</v>
      </c>
      <c r="M354" s="170"/>
    </row>
    <row r="355" spans="1:13" x14ac:dyDescent="0.4">
      <c r="A355" s="165">
        <v>164.5</v>
      </c>
      <c r="B355" s="166">
        <f t="shared" si="37"/>
        <v>164.4</v>
      </c>
      <c r="C355" s="166">
        <f t="shared" ref="C355:C418" si="38">((A355/100)^4)*100000</f>
        <v>732257.1300624999</v>
      </c>
      <c r="G355" s="165">
        <v>164.5</v>
      </c>
      <c r="K355" s="165">
        <v>164.5</v>
      </c>
      <c r="M355" s="170"/>
    </row>
    <row r="356" spans="1:13" x14ac:dyDescent="0.4">
      <c r="A356" s="165">
        <v>165</v>
      </c>
      <c r="B356" s="166">
        <f t="shared" si="37"/>
        <v>164.9</v>
      </c>
      <c r="C356" s="166">
        <f t="shared" si="38"/>
        <v>741200.62499999988</v>
      </c>
      <c r="G356" s="165">
        <v>165</v>
      </c>
      <c r="K356" s="165">
        <v>165</v>
      </c>
      <c r="M356" s="170"/>
    </row>
    <row r="357" spans="1:13" x14ac:dyDescent="0.4">
      <c r="A357" s="165">
        <v>165.5</v>
      </c>
      <c r="B357" s="166">
        <f t="shared" si="37"/>
        <v>165.4</v>
      </c>
      <c r="C357" s="166">
        <f t="shared" si="38"/>
        <v>750225.79506250017</v>
      </c>
      <c r="G357" s="165">
        <v>165.5</v>
      </c>
      <c r="K357" s="165">
        <v>165.5</v>
      </c>
      <c r="M357" s="170"/>
    </row>
    <row r="358" spans="1:13" x14ac:dyDescent="0.4">
      <c r="A358" s="165">
        <v>166</v>
      </c>
      <c r="B358" s="166">
        <f t="shared" si="37"/>
        <v>165.9</v>
      </c>
      <c r="C358" s="166">
        <f t="shared" si="38"/>
        <v>759333.13599999982</v>
      </c>
      <c r="G358" s="165">
        <v>166</v>
      </c>
      <c r="K358" s="165">
        <v>166</v>
      </c>
      <c r="M358" s="170"/>
    </row>
    <row r="359" spans="1:13" x14ac:dyDescent="0.4">
      <c r="A359" s="165">
        <v>166.5</v>
      </c>
      <c r="B359" s="166">
        <f t="shared" si="37"/>
        <v>166.4</v>
      </c>
      <c r="C359" s="166">
        <f t="shared" si="38"/>
        <v>768523.14506250015</v>
      </c>
      <c r="G359" s="165">
        <v>166.5</v>
      </c>
      <c r="K359" s="165">
        <v>166.5</v>
      </c>
      <c r="M359" s="170"/>
    </row>
    <row r="360" spans="1:13" x14ac:dyDescent="0.4">
      <c r="A360" s="165">
        <v>167</v>
      </c>
      <c r="B360" s="166">
        <f t="shared" si="37"/>
        <v>166.9</v>
      </c>
      <c r="C360" s="166">
        <f t="shared" si="38"/>
        <v>777796.32099999988</v>
      </c>
      <c r="G360" s="165">
        <v>167</v>
      </c>
      <c r="K360" s="165">
        <v>167</v>
      </c>
      <c r="M360" s="170"/>
    </row>
    <row r="361" spans="1:13" x14ac:dyDescent="0.4">
      <c r="A361" s="165">
        <v>167.5</v>
      </c>
      <c r="B361" s="166">
        <f t="shared" si="37"/>
        <v>167.4</v>
      </c>
      <c r="C361" s="166">
        <f t="shared" si="38"/>
        <v>787153.1640625</v>
      </c>
      <c r="G361" s="165">
        <v>167.5</v>
      </c>
      <c r="K361" s="165">
        <v>167.5</v>
      </c>
      <c r="M361" s="170"/>
    </row>
    <row r="362" spans="1:13" x14ac:dyDescent="0.4">
      <c r="A362" s="165">
        <v>168</v>
      </c>
      <c r="B362" s="166">
        <f t="shared" si="37"/>
        <v>167.9</v>
      </c>
      <c r="C362" s="166">
        <f t="shared" si="38"/>
        <v>796594.17599999974</v>
      </c>
      <c r="G362" s="165">
        <v>168</v>
      </c>
      <c r="K362" s="165">
        <v>168</v>
      </c>
      <c r="M362" s="170"/>
    </row>
    <row r="363" spans="1:13" x14ac:dyDescent="0.4">
      <c r="A363" s="165">
        <v>168.5</v>
      </c>
      <c r="B363" s="166">
        <f t="shared" si="37"/>
        <v>168.4</v>
      </c>
      <c r="C363" s="166">
        <f t="shared" si="38"/>
        <v>806119.86006250011</v>
      </c>
      <c r="G363" s="165">
        <v>168.5</v>
      </c>
      <c r="K363" s="165">
        <v>168.5</v>
      </c>
      <c r="M363" s="170"/>
    </row>
    <row r="364" spans="1:13" x14ac:dyDescent="0.4">
      <c r="A364" s="165">
        <v>169</v>
      </c>
      <c r="B364" s="166">
        <f t="shared" si="37"/>
        <v>168.9</v>
      </c>
      <c r="C364" s="166">
        <f t="shared" si="38"/>
        <v>815730.72099999967</v>
      </c>
      <c r="G364" s="165">
        <v>169</v>
      </c>
      <c r="K364" s="165">
        <v>169</v>
      </c>
      <c r="M364" s="170"/>
    </row>
    <row r="365" spans="1:13" x14ac:dyDescent="0.4">
      <c r="A365" s="165">
        <v>169.5</v>
      </c>
      <c r="B365" s="166">
        <f t="shared" si="37"/>
        <v>169.4</v>
      </c>
      <c r="C365" s="166">
        <f t="shared" si="38"/>
        <v>825427.26506250014</v>
      </c>
      <c r="G365" s="165">
        <v>169.5</v>
      </c>
      <c r="K365" s="165">
        <v>169.5</v>
      </c>
      <c r="M365" s="170"/>
    </row>
    <row r="366" spans="1:13" x14ac:dyDescent="0.4">
      <c r="A366" s="165">
        <v>170</v>
      </c>
      <c r="B366" s="166">
        <f t="shared" si="37"/>
        <v>169.9</v>
      </c>
      <c r="C366" s="166">
        <f t="shared" si="38"/>
        <v>835209.99999999988</v>
      </c>
      <c r="G366" s="165">
        <v>170</v>
      </c>
      <c r="I366" s="167">
        <f>(18/29)*(C366)/1000</f>
        <v>518.40620689655168</v>
      </c>
      <c r="J366" s="168">
        <f>((22.41/273)*(A366+273))*((1/29)+((1/18)*I366))</f>
        <v>1048.5769208412278</v>
      </c>
      <c r="K366" s="165">
        <v>170</v>
      </c>
      <c r="M366" s="170"/>
    </row>
    <row r="367" spans="1:13" x14ac:dyDescent="0.4">
      <c r="A367" s="165">
        <v>170.5</v>
      </c>
      <c r="B367" s="166">
        <f t="shared" si="37"/>
        <v>170.4</v>
      </c>
      <c r="C367" s="166">
        <f t="shared" si="38"/>
        <v>845079.4350625003</v>
      </c>
      <c r="G367" s="165">
        <v>170.5</v>
      </c>
      <c r="K367" s="165">
        <v>170.5</v>
      </c>
      <c r="M367" s="170"/>
    </row>
    <row r="368" spans="1:13" x14ac:dyDescent="0.4">
      <c r="A368" s="165">
        <v>171</v>
      </c>
      <c r="B368" s="166">
        <f t="shared" si="37"/>
        <v>170.9</v>
      </c>
      <c r="C368" s="166">
        <f t="shared" si="38"/>
        <v>855036.08099999989</v>
      </c>
      <c r="G368" s="165">
        <v>171</v>
      </c>
      <c r="K368" s="165">
        <v>171</v>
      </c>
      <c r="M368" s="170"/>
    </row>
    <row r="369" spans="1:13" x14ac:dyDescent="0.4">
      <c r="A369" s="165">
        <v>171.5</v>
      </c>
      <c r="B369" s="166">
        <f t="shared" si="37"/>
        <v>171.4</v>
      </c>
      <c r="C369" s="166">
        <f t="shared" si="38"/>
        <v>865080.4500625002</v>
      </c>
      <c r="G369" s="165">
        <v>171.5</v>
      </c>
      <c r="K369" s="165">
        <v>171.5</v>
      </c>
      <c r="M369" s="170"/>
    </row>
    <row r="370" spans="1:13" x14ac:dyDescent="0.4">
      <c r="A370" s="165">
        <v>172</v>
      </c>
      <c r="B370" s="166">
        <f t="shared" si="37"/>
        <v>171.9</v>
      </c>
      <c r="C370" s="166">
        <f t="shared" si="38"/>
        <v>875213.05599999975</v>
      </c>
      <c r="G370" s="165">
        <v>172</v>
      </c>
      <c r="K370" s="165">
        <v>172</v>
      </c>
      <c r="M370" s="170"/>
    </row>
    <row r="371" spans="1:13" x14ac:dyDescent="0.4">
      <c r="A371" s="165">
        <v>172.5</v>
      </c>
      <c r="B371" s="166">
        <f t="shared" si="37"/>
        <v>172.4</v>
      </c>
      <c r="C371" s="166">
        <f t="shared" si="38"/>
        <v>885434.41406250023</v>
      </c>
      <c r="G371" s="165">
        <v>172.5</v>
      </c>
      <c r="K371" s="165">
        <v>172.5</v>
      </c>
      <c r="M371" s="170"/>
    </row>
    <row r="372" spans="1:13" x14ac:dyDescent="0.4">
      <c r="A372" s="165">
        <v>173</v>
      </c>
      <c r="B372" s="166">
        <f t="shared" si="37"/>
        <v>172.9</v>
      </c>
      <c r="C372" s="166">
        <f t="shared" si="38"/>
        <v>895745.04099999997</v>
      </c>
      <c r="G372" s="165">
        <v>173</v>
      </c>
      <c r="K372" s="165">
        <v>173</v>
      </c>
      <c r="M372" s="170"/>
    </row>
    <row r="373" spans="1:13" x14ac:dyDescent="0.4">
      <c r="A373" s="165">
        <v>173.5</v>
      </c>
      <c r="B373" s="166">
        <f t="shared" si="37"/>
        <v>173.4</v>
      </c>
      <c r="C373" s="166">
        <f t="shared" si="38"/>
        <v>906145.45506250008</v>
      </c>
      <c r="G373" s="165">
        <v>173.5</v>
      </c>
      <c r="K373" s="165">
        <v>173.5</v>
      </c>
      <c r="M373" s="170"/>
    </row>
    <row r="374" spans="1:13" x14ac:dyDescent="0.4">
      <c r="A374" s="165">
        <v>174</v>
      </c>
      <c r="B374" s="166">
        <f t="shared" si="37"/>
        <v>173.9</v>
      </c>
      <c r="C374" s="166">
        <f t="shared" si="38"/>
        <v>916636.17600000009</v>
      </c>
      <c r="G374" s="165">
        <v>174</v>
      </c>
      <c r="K374" s="165">
        <v>174</v>
      </c>
      <c r="M374" s="170"/>
    </row>
    <row r="375" spans="1:13" x14ac:dyDescent="0.4">
      <c r="A375" s="165">
        <v>174.5</v>
      </c>
      <c r="B375" s="166">
        <f t="shared" si="37"/>
        <v>174.4</v>
      </c>
      <c r="C375" s="166">
        <f t="shared" si="38"/>
        <v>927217.72506250022</v>
      </c>
      <c r="G375" s="165">
        <v>174.5</v>
      </c>
      <c r="K375" s="165">
        <v>174.5</v>
      </c>
      <c r="M375" s="170"/>
    </row>
    <row r="376" spans="1:13" x14ac:dyDescent="0.4">
      <c r="A376" s="165">
        <v>175</v>
      </c>
      <c r="B376" s="166">
        <f t="shared" si="37"/>
        <v>174.9</v>
      </c>
      <c r="C376" s="166">
        <f t="shared" si="38"/>
        <v>937890.625</v>
      </c>
      <c r="G376" s="165">
        <v>175</v>
      </c>
      <c r="K376" s="165">
        <v>175</v>
      </c>
      <c r="M376" s="170"/>
    </row>
    <row r="377" spans="1:13" x14ac:dyDescent="0.4">
      <c r="A377" s="165">
        <v>175.5</v>
      </c>
      <c r="B377" s="166">
        <f t="shared" si="37"/>
        <v>175.4</v>
      </c>
      <c r="C377" s="166">
        <f t="shared" si="38"/>
        <v>948655.40006249968</v>
      </c>
      <c r="G377" s="165">
        <v>175.5</v>
      </c>
      <c r="K377" s="165">
        <v>175.5</v>
      </c>
      <c r="M377" s="170"/>
    </row>
    <row r="378" spans="1:13" x14ac:dyDescent="0.4">
      <c r="A378" s="165">
        <v>176</v>
      </c>
      <c r="B378" s="166">
        <f t="shared" si="37"/>
        <v>175.9</v>
      </c>
      <c r="C378" s="166">
        <f t="shared" si="38"/>
        <v>959512.576</v>
      </c>
      <c r="G378" s="165">
        <v>176</v>
      </c>
      <c r="K378" s="165">
        <v>176</v>
      </c>
      <c r="M378" s="170"/>
    </row>
    <row r="379" spans="1:13" x14ac:dyDescent="0.4">
      <c r="A379" s="165">
        <v>176.5</v>
      </c>
      <c r="B379" s="166">
        <f t="shared" si="37"/>
        <v>176.4</v>
      </c>
      <c r="C379" s="166">
        <f t="shared" si="38"/>
        <v>970462.68006249983</v>
      </c>
      <c r="G379" s="165">
        <v>176.5</v>
      </c>
      <c r="K379" s="165">
        <v>176.5</v>
      </c>
      <c r="M379" s="170"/>
    </row>
    <row r="380" spans="1:13" x14ac:dyDescent="0.4">
      <c r="A380" s="165">
        <v>177</v>
      </c>
      <c r="B380" s="166">
        <f t="shared" si="37"/>
        <v>176.9</v>
      </c>
      <c r="C380" s="166">
        <f t="shared" si="38"/>
        <v>981506.24100000015</v>
      </c>
      <c r="G380" s="165">
        <v>177</v>
      </c>
      <c r="K380" s="165">
        <v>177</v>
      </c>
      <c r="M380" s="170"/>
    </row>
    <row r="381" spans="1:13" x14ac:dyDescent="0.4">
      <c r="A381" s="165">
        <v>177.5</v>
      </c>
      <c r="B381" s="166">
        <f t="shared" si="37"/>
        <v>177.4</v>
      </c>
      <c r="C381" s="166">
        <f t="shared" si="38"/>
        <v>992643.7890625</v>
      </c>
      <c r="G381" s="165">
        <v>177.5</v>
      </c>
      <c r="K381" s="165">
        <v>177.5</v>
      </c>
      <c r="M381" s="170"/>
    </row>
    <row r="382" spans="1:13" x14ac:dyDescent="0.4">
      <c r="A382" s="165">
        <v>178</v>
      </c>
      <c r="B382" s="166">
        <f t="shared" si="37"/>
        <v>177.9</v>
      </c>
      <c r="C382" s="166">
        <f t="shared" si="38"/>
        <v>1003875.8560000001</v>
      </c>
      <c r="G382" s="165">
        <v>178</v>
      </c>
      <c r="K382" s="165">
        <v>178</v>
      </c>
      <c r="M382" s="170"/>
    </row>
    <row r="383" spans="1:13" x14ac:dyDescent="0.4">
      <c r="A383" s="165">
        <v>178.5</v>
      </c>
      <c r="B383" s="166">
        <f t="shared" si="37"/>
        <v>178.4</v>
      </c>
      <c r="C383" s="166">
        <f t="shared" si="38"/>
        <v>1015202.9750624999</v>
      </c>
      <c r="G383" s="165">
        <v>178.5</v>
      </c>
      <c r="K383" s="165">
        <v>178.5</v>
      </c>
      <c r="M383" s="170"/>
    </row>
    <row r="384" spans="1:13" x14ac:dyDescent="0.4">
      <c r="A384" s="165">
        <v>179</v>
      </c>
      <c r="B384" s="166">
        <f t="shared" si="37"/>
        <v>178.9</v>
      </c>
      <c r="C384" s="166">
        <f t="shared" si="38"/>
        <v>1026625.681</v>
      </c>
      <c r="G384" s="165">
        <v>179</v>
      </c>
      <c r="K384" s="165">
        <v>179</v>
      </c>
      <c r="M384" s="170"/>
    </row>
    <row r="385" spans="1:13" x14ac:dyDescent="0.4">
      <c r="A385" s="165">
        <v>179.5</v>
      </c>
      <c r="B385" s="166">
        <f t="shared" si="37"/>
        <v>179.4</v>
      </c>
      <c r="C385" s="166">
        <f t="shared" si="38"/>
        <v>1038144.5100624999</v>
      </c>
      <c r="G385" s="165">
        <v>179.5</v>
      </c>
      <c r="K385" s="165">
        <v>179.5</v>
      </c>
      <c r="M385" s="170"/>
    </row>
    <row r="386" spans="1:13" x14ac:dyDescent="0.4">
      <c r="A386" s="165">
        <v>180</v>
      </c>
      <c r="B386" s="166">
        <f t="shared" si="37"/>
        <v>179.9</v>
      </c>
      <c r="C386" s="166">
        <f t="shared" si="38"/>
        <v>1049760.0000000002</v>
      </c>
      <c r="E386" s="166">
        <f>I386*1000</f>
        <v>651575.17241379328</v>
      </c>
      <c r="G386" s="165">
        <v>180</v>
      </c>
      <c r="I386" s="167">
        <f>(18/29)*(C386)/1000</f>
        <v>651.57517241379333</v>
      </c>
      <c r="J386" s="168">
        <f>((22.41/273)*(A386+273))*((1/29)+((1/18)*I386))</f>
        <v>1347.3578141720352</v>
      </c>
      <c r="K386" s="165">
        <v>180</v>
      </c>
      <c r="M386" s="170"/>
    </row>
    <row r="387" spans="1:13" x14ac:dyDescent="0.4">
      <c r="A387" s="165">
        <v>180.5</v>
      </c>
      <c r="B387" s="166">
        <f t="shared" si="37"/>
        <v>180.4</v>
      </c>
      <c r="C387" s="166">
        <f t="shared" si="38"/>
        <v>1061472.6900625001</v>
      </c>
      <c r="G387" s="165">
        <v>180.5</v>
      </c>
      <c r="K387" s="165">
        <v>180.5</v>
      </c>
      <c r="M387" s="170"/>
    </row>
    <row r="388" spans="1:13" x14ac:dyDescent="0.4">
      <c r="A388" s="165">
        <v>181</v>
      </c>
      <c r="B388" s="166">
        <f t="shared" si="37"/>
        <v>180.9</v>
      </c>
      <c r="C388" s="166">
        <f t="shared" si="38"/>
        <v>1073283.121</v>
      </c>
      <c r="G388" s="165">
        <v>181</v>
      </c>
      <c r="K388" s="165">
        <v>181</v>
      </c>
      <c r="M388" s="170"/>
    </row>
    <row r="389" spans="1:13" x14ac:dyDescent="0.4">
      <c r="A389" s="165">
        <v>181.5</v>
      </c>
      <c r="B389" s="166">
        <f t="shared" si="37"/>
        <v>181.4</v>
      </c>
      <c r="C389" s="166">
        <f t="shared" si="38"/>
        <v>1085191.8350625001</v>
      </c>
      <c r="G389" s="165">
        <v>181.5</v>
      </c>
      <c r="K389" s="165">
        <v>181.5</v>
      </c>
      <c r="M389" s="170"/>
    </row>
    <row r="390" spans="1:13" x14ac:dyDescent="0.4">
      <c r="A390" s="165">
        <v>182</v>
      </c>
      <c r="B390" s="166">
        <f t="shared" si="37"/>
        <v>181.9</v>
      </c>
      <c r="C390" s="166">
        <f t="shared" si="38"/>
        <v>1097199.3760000002</v>
      </c>
      <c r="G390" s="165">
        <v>182</v>
      </c>
      <c r="K390" s="165">
        <v>182</v>
      </c>
      <c r="M390" s="170"/>
    </row>
    <row r="391" spans="1:13" x14ac:dyDescent="0.4">
      <c r="A391" s="165">
        <v>182.5</v>
      </c>
      <c r="B391" s="166">
        <f t="shared" si="37"/>
        <v>182.4</v>
      </c>
      <c r="C391" s="166">
        <f t="shared" si="38"/>
        <v>1109306.2890625</v>
      </c>
      <c r="G391" s="165">
        <v>182.5</v>
      </c>
      <c r="K391" s="165">
        <v>182.5</v>
      </c>
      <c r="M391" s="170"/>
    </row>
    <row r="392" spans="1:13" x14ac:dyDescent="0.4">
      <c r="A392" s="165">
        <v>183</v>
      </c>
      <c r="B392" s="166">
        <f t="shared" si="37"/>
        <v>182.9</v>
      </c>
      <c r="C392" s="166">
        <f t="shared" si="38"/>
        <v>1121513.1210000003</v>
      </c>
      <c r="G392" s="165">
        <v>183</v>
      </c>
      <c r="K392" s="165">
        <v>183</v>
      </c>
      <c r="M392" s="170"/>
    </row>
    <row r="393" spans="1:13" x14ac:dyDescent="0.4">
      <c r="A393" s="165">
        <v>183.5</v>
      </c>
      <c r="B393" s="166">
        <f t="shared" si="37"/>
        <v>183.4</v>
      </c>
      <c r="C393" s="166">
        <f t="shared" si="38"/>
        <v>1133820.4200624998</v>
      </c>
      <c r="G393" s="165">
        <v>183.5</v>
      </c>
      <c r="K393" s="165">
        <v>183.5</v>
      </c>
      <c r="M393" s="170"/>
    </row>
    <row r="394" spans="1:13" x14ac:dyDescent="0.4">
      <c r="A394" s="165">
        <v>184</v>
      </c>
      <c r="B394" s="166">
        <f t="shared" si="37"/>
        <v>183.9</v>
      </c>
      <c r="C394" s="166">
        <f t="shared" si="38"/>
        <v>1146228.736</v>
      </c>
      <c r="G394" s="165">
        <v>184</v>
      </c>
      <c r="K394" s="165">
        <v>184</v>
      </c>
      <c r="M394" s="170"/>
    </row>
    <row r="395" spans="1:13" x14ac:dyDescent="0.4">
      <c r="A395" s="165">
        <v>184.5</v>
      </c>
      <c r="B395" s="166">
        <f t="shared" si="37"/>
        <v>184.4</v>
      </c>
      <c r="C395" s="166">
        <f t="shared" si="38"/>
        <v>1158738.6200625</v>
      </c>
      <c r="G395" s="165">
        <v>184.5</v>
      </c>
      <c r="K395" s="165">
        <v>184.5</v>
      </c>
      <c r="M395" s="170"/>
    </row>
    <row r="396" spans="1:13" x14ac:dyDescent="0.4">
      <c r="A396" s="165">
        <v>185</v>
      </c>
      <c r="B396" s="166">
        <f t="shared" si="37"/>
        <v>184.9</v>
      </c>
      <c r="C396" s="166">
        <f t="shared" si="38"/>
        <v>1171350.6250000002</v>
      </c>
      <c r="G396" s="165">
        <v>185</v>
      </c>
      <c r="K396" s="165">
        <v>185</v>
      </c>
      <c r="M396" s="170"/>
    </row>
    <row r="397" spans="1:13" x14ac:dyDescent="0.4">
      <c r="A397" s="165">
        <v>185.5</v>
      </c>
      <c r="B397" s="166">
        <f t="shared" si="37"/>
        <v>185.4</v>
      </c>
      <c r="C397" s="166">
        <f t="shared" si="38"/>
        <v>1184065.3050624998</v>
      </c>
      <c r="G397" s="165">
        <v>185.5</v>
      </c>
      <c r="K397" s="165">
        <v>185.5</v>
      </c>
      <c r="M397" s="170"/>
    </row>
    <row r="398" spans="1:13" x14ac:dyDescent="0.4">
      <c r="A398" s="165">
        <v>186</v>
      </c>
      <c r="B398" s="166">
        <f t="shared" si="37"/>
        <v>185.9</v>
      </c>
      <c r="C398" s="166">
        <f t="shared" si="38"/>
        <v>1196883.2160000002</v>
      </c>
      <c r="G398" s="165">
        <v>186</v>
      </c>
      <c r="K398" s="165">
        <v>186</v>
      </c>
      <c r="M398" s="170"/>
    </row>
    <row r="399" spans="1:13" x14ac:dyDescent="0.4">
      <c r="A399" s="165">
        <v>186.5</v>
      </c>
      <c r="B399" s="166">
        <f t="shared" si="37"/>
        <v>186.4</v>
      </c>
      <c r="C399" s="166">
        <f t="shared" si="38"/>
        <v>1209804.9150624999</v>
      </c>
      <c r="G399" s="165">
        <v>186.5</v>
      </c>
      <c r="K399" s="165">
        <v>186.5</v>
      </c>
      <c r="M399" s="170"/>
    </row>
    <row r="400" spans="1:13" x14ac:dyDescent="0.4">
      <c r="A400" s="165">
        <v>187</v>
      </c>
      <c r="B400" s="166">
        <f t="shared" si="37"/>
        <v>186.9</v>
      </c>
      <c r="C400" s="166">
        <f t="shared" si="38"/>
        <v>1222830.9610000004</v>
      </c>
      <c r="G400" s="165">
        <v>187</v>
      </c>
      <c r="K400" s="165">
        <v>187</v>
      </c>
      <c r="M400" s="170"/>
    </row>
    <row r="401" spans="1:13" x14ac:dyDescent="0.4">
      <c r="A401" s="165">
        <v>187.5</v>
      </c>
      <c r="B401" s="166">
        <f t="shared" si="37"/>
        <v>187.4</v>
      </c>
      <c r="C401" s="166">
        <f t="shared" si="38"/>
        <v>1235961.9140625</v>
      </c>
      <c r="G401" s="165">
        <v>187.5</v>
      </c>
      <c r="K401" s="165">
        <v>187.5</v>
      </c>
      <c r="M401" s="170"/>
    </row>
    <row r="402" spans="1:13" x14ac:dyDescent="0.4">
      <c r="A402" s="165">
        <v>188</v>
      </c>
      <c r="B402" s="166">
        <f t="shared" si="37"/>
        <v>187.9</v>
      </c>
      <c r="C402" s="166">
        <f t="shared" si="38"/>
        <v>1249198.3359999999</v>
      </c>
      <c r="G402" s="165">
        <v>188</v>
      </c>
      <c r="K402" s="165">
        <v>188</v>
      </c>
      <c r="M402" s="170"/>
    </row>
    <row r="403" spans="1:13" x14ac:dyDescent="0.4">
      <c r="A403" s="165">
        <v>188.5</v>
      </c>
      <c r="B403" s="166">
        <f t="shared" si="37"/>
        <v>188.4</v>
      </c>
      <c r="C403" s="166">
        <f t="shared" si="38"/>
        <v>1262540.7900624999</v>
      </c>
      <c r="G403" s="165">
        <v>188.5</v>
      </c>
      <c r="K403" s="165">
        <v>188.5</v>
      </c>
      <c r="M403" s="170"/>
    </row>
    <row r="404" spans="1:13" x14ac:dyDescent="0.4">
      <c r="A404" s="165">
        <v>189</v>
      </c>
      <c r="B404" s="166">
        <f t="shared" si="37"/>
        <v>188.9</v>
      </c>
      <c r="C404" s="166">
        <f t="shared" si="38"/>
        <v>1275989.8409999998</v>
      </c>
      <c r="G404" s="165">
        <v>189</v>
      </c>
      <c r="K404" s="165">
        <v>189</v>
      </c>
      <c r="M404" s="170"/>
    </row>
    <row r="405" spans="1:13" x14ac:dyDescent="0.4">
      <c r="A405" s="165">
        <v>189.5</v>
      </c>
      <c r="B405" s="166">
        <f t="shared" si="37"/>
        <v>189.4</v>
      </c>
      <c r="C405" s="166">
        <f t="shared" si="38"/>
        <v>1289546.0550625001</v>
      </c>
      <c r="G405" s="165">
        <v>189.5</v>
      </c>
      <c r="K405" s="165">
        <v>189.5</v>
      </c>
      <c r="M405" s="170"/>
    </row>
    <row r="406" spans="1:13" x14ac:dyDescent="0.4">
      <c r="A406" s="165">
        <v>190</v>
      </c>
      <c r="B406" s="166">
        <f t="shared" si="37"/>
        <v>189.9</v>
      </c>
      <c r="C406" s="166">
        <f t="shared" si="38"/>
        <v>1303210</v>
      </c>
      <c r="E406" s="166">
        <f>I406*1000</f>
        <v>808888.96551724139</v>
      </c>
      <c r="G406" s="165">
        <v>190</v>
      </c>
      <c r="I406" s="167">
        <f>(18/29)*(C406)/1000</f>
        <v>808.88896551724145</v>
      </c>
      <c r="J406" s="168">
        <f>((22.41/273)*(A406+273))*((1/29)+((1/18)*I406))</f>
        <v>1709.2662933308075</v>
      </c>
      <c r="K406" s="165">
        <v>190</v>
      </c>
      <c r="M406" s="170"/>
    </row>
    <row r="407" spans="1:13" x14ac:dyDescent="0.4">
      <c r="A407" s="165">
        <v>190.5</v>
      </c>
      <c r="B407" s="166">
        <f t="shared" si="37"/>
        <v>190.4</v>
      </c>
      <c r="C407" s="166">
        <f t="shared" si="38"/>
        <v>1316982.2450625</v>
      </c>
      <c r="G407" s="165">
        <v>190.5</v>
      </c>
      <c r="K407" s="165">
        <v>190.5</v>
      </c>
      <c r="M407" s="170"/>
    </row>
    <row r="408" spans="1:13" x14ac:dyDescent="0.4">
      <c r="A408" s="165">
        <v>191</v>
      </c>
      <c r="B408" s="166">
        <f t="shared" si="37"/>
        <v>190.9</v>
      </c>
      <c r="C408" s="166">
        <f t="shared" si="38"/>
        <v>1330863.361</v>
      </c>
      <c r="G408" s="165">
        <v>191</v>
      </c>
      <c r="K408" s="165">
        <v>191</v>
      </c>
      <c r="M408" s="170"/>
    </row>
    <row r="409" spans="1:13" x14ac:dyDescent="0.4">
      <c r="A409" s="165">
        <v>191.5</v>
      </c>
      <c r="B409" s="166">
        <f t="shared" si="37"/>
        <v>191.4</v>
      </c>
      <c r="C409" s="166">
        <f t="shared" si="38"/>
        <v>1344853.9200625001</v>
      </c>
      <c r="G409" s="165">
        <v>191.5</v>
      </c>
      <c r="K409" s="165">
        <v>191.5</v>
      </c>
      <c r="M409" s="170"/>
    </row>
    <row r="410" spans="1:13" x14ac:dyDescent="0.4">
      <c r="A410" s="165">
        <v>192</v>
      </c>
      <c r="B410" s="166">
        <f t="shared" ref="B410:B473" si="39">A410-0.1</f>
        <v>191.9</v>
      </c>
      <c r="C410" s="166">
        <f t="shared" si="38"/>
        <v>1358954.496</v>
      </c>
      <c r="G410" s="165">
        <v>192</v>
      </c>
      <c r="K410" s="165">
        <v>192</v>
      </c>
      <c r="M410" s="170"/>
    </row>
    <row r="411" spans="1:13" x14ac:dyDescent="0.4">
      <c r="A411" s="165">
        <v>192.5</v>
      </c>
      <c r="B411" s="166">
        <f t="shared" si="39"/>
        <v>192.4</v>
      </c>
      <c r="C411" s="166">
        <f t="shared" si="38"/>
        <v>1373165.6640625002</v>
      </c>
      <c r="G411" s="165">
        <v>192.5</v>
      </c>
      <c r="K411" s="165">
        <v>192.5</v>
      </c>
      <c r="M411" s="170"/>
    </row>
    <row r="412" spans="1:13" x14ac:dyDescent="0.4">
      <c r="A412" s="165">
        <v>193</v>
      </c>
      <c r="B412" s="166">
        <f t="shared" si="39"/>
        <v>192.9</v>
      </c>
      <c r="C412" s="166">
        <f t="shared" si="38"/>
        <v>1387488.0009999999</v>
      </c>
      <c r="G412" s="165">
        <v>193</v>
      </c>
      <c r="K412" s="165">
        <v>193</v>
      </c>
      <c r="M412" s="170"/>
    </row>
    <row r="413" spans="1:13" x14ac:dyDescent="0.4">
      <c r="A413" s="165">
        <v>193.5</v>
      </c>
      <c r="B413" s="166">
        <f t="shared" si="39"/>
        <v>193.4</v>
      </c>
      <c r="C413" s="166">
        <f t="shared" si="38"/>
        <v>1401922.0850625001</v>
      </c>
      <c r="G413" s="165">
        <v>193.5</v>
      </c>
      <c r="K413" s="165">
        <v>193.5</v>
      </c>
      <c r="M413" s="170"/>
    </row>
    <row r="414" spans="1:13" x14ac:dyDescent="0.4">
      <c r="A414" s="165">
        <v>194</v>
      </c>
      <c r="B414" s="166">
        <f t="shared" si="39"/>
        <v>193.9</v>
      </c>
      <c r="C414" s="166">
        <f t="shared" si="38"/>
        <v>1416468.4959999998</v>
      </c>
      <c r="G414" s="165">
        <v>194</v>
      </c>
      <c r="K414" s="165">
        <v>194</v>
      </c>
      <c r="M414" s="170"/>
    </row>
    <row r="415" spans="1:13" x14ac:dyDescent="0.4">
      <c r="A415" s="165">
        <v>194.5</v>
      </c>
      <c r="B415" s="166">
        <f t="shared" si="39"/>
        <v>194.4</v>
      </c>
      <c r="C415" s="166">
        <f t="shared" si="38"/>
        <v>1431127.8150625003</v>
      </c>
      <c r="G415" s="165">
        <v>194.5</v>
      </c>
      <c r="K415" s="165">
        <v>194.5</v>
      </c>
      <c r="M415" s="170"/>
    </row>
    <row r="416" spans="1:13" x14ac:dyDescent="0.4">
      <c r="A416" s="165">
        <v>195</v>
      </c>
      <c r="B416" s="166">
        <f t="shared" si="39"/>
        <v>194.9</v>
      </c>
      <c r="C416" s="166">
        <f t="shared" si="38"/>
        <v>1445900.6249999998</v>
      </c>
      <c r="G416" s="165">
        <v>195</v>
      </c>
      <c r="K416" s="165">
        <v>195</v>
      </c>
      <c r="M416" s="170"/>
    </row>
    <row r="417" spans="1:13" x14ac:dyDescent="0.4">
      <c r="A417" s="165">
        <v>195.5</v>
      </c>
      <c r="B417" s="166">
        <f t="shared" si="39"/>
        <v>195.4</v>
      </c>
      <c r="C417" s="166">
        <f t="shared" si="38"/>
        <v>1460787.5100625004</v>
      </c>
      <c r="G417" s="165">
        <v>195.5</v>
      </c>
      <c r="K417" s="165">
        <v>195.5</v>
      </c>
      <c r="M417" s="170"/>
    </row>
    <row r="418" spans="1:13" x14ac:dyDescent="0.4">
      <c r="A418" s="165">
        <v>196</v>
      </c>
      <c r="B418" s="166">
        <f t="shared" si="39"/>
        <v>195.9</v>
      </c>
      <c r="C418" s="166">
        <f t="shared" si="38"/>
        <v>1475789.0559999999</v>
      </c>
      <c r="G418" s="165">
        <v>196</v>
      </c>
      <c r="K418" s="165">
        <v>196</v>
      </c>
      <c r="M418" s="170"/>
    </row>
    <row r="419" spans="1:13" x14ac:dyDescent="0.4">
      <c r="A419" s="165">
        <v>196.5</v>
      </c>
      <c r="B419" s="166">
        <f t="shared" si="39"/>
        <v>196.4</v>
      </c>
      <c r="C419" s="166">
        <f t="shared" ref="C419:C426" si="40">((A419/100)^4)*100000</f>
        <v>1490905.8500625</v>
      </c>
      <c r="G419" s="165">
        <v>196.5</v>
      </c>
      <c r="K419" s="165">
        <v>196.5</v>
      </c>
      <c r="M419" s="170"/>
    </row>
    <row r="420" spans="1:13" x14ac:dyDescent="0.4">
      <c r="A420" s="165">
        <v>197</v>
      </c>
      <c r="B420" s="166">
        <f t="shared" si="39"/>
        <v>196.9</v>
      </c>
      <c r="C420" s="166">
        <f t="shared" si="40"/>
        <v>1506138.4809999999</v>
      </c>
      <c r="G420" s="165">
        <v>197</v>
      </c>
      <c r="K420" s="165">
        <v>197</v>
      </c>
      <c r="M420" s="170"/>
    </row>
    <row r="421" spans="1:13" x14ac:dyDescent="0.4">
      <c r="A421" s="165">
        <v>197.5</v>
      </c>
      <c r="B421" s="166">
        <f t="shared" si="39"/>
        <v>197.4</v>
      </c>
      <c r="C421" s="166">
        <f t="shared" si="40"/>
        <v>1521487.5390625002</v>
      </c>
      <c r="G421" s="165">
        <v>197.5</v>
      </c>
      <c r="K421" s="165">
        <v>197.5</v>
      </c>
      <c r="M421" s="170"/>
    </row>
    <row r="422" spans="1:13" x14ac:dyDescent="0.4">
      <c r="A422" s="165">
        <v>198</v>
      </c>
      <c r="B422" s="166">
        <f t="shared" si="39"/>
        <v>197.9</v>
      </c>
      <c r="C422" s="166">
        <f t="shared" si="40"/>
        <v>1536953.6159999999</v>
      </c>
      <c r="G422" s="165">
        <v>198</v>
      </c>
      <c r="K422" s="165">
        <v>198</v>
      </c>
      <c r="M422" s="170"/>
    </row>
    <row r="423" spans="1:13" x14ac:dyDescent="0.4">
      <c r="A423" s="165">
        <v>198.5</v>
      </c>
      <c r="B423" s="166">
        <f t="shared" si="39"/>
        <v>198.4</v>
      </c>
      <c r="C423" s="166">
        <f t="shared" si="40"/>
        <v>1552537.3050625003</v>
      </c>
      <c r="G423" s="165">
        <v>198.5</v>
      </c>
      <c r="K423" s="165">
        <v>198.5</v>
      </c>
      <c r="M423" s="170"/>
    </row>
    <row r="424" spans="1:13" x14ac:dyDescent="0.4">
      <c r="A424" s="165">
        <v>199</v>
      </c>
      <c r="B424" s="166">
        <f t="shared" si="39"/>
        <v>198.9</v>
      </c>
      <c r="C424" s="166">
        <f t="shared" si="40"/>
        <v>1568239.2010000001</v>
      </c>
      <c r="G424" s="165">
        <v>199</v>
      </c>
      <c r="K424" s="165">
        <v>199</v>
      </c>
      <c r="M424" s="170"/>
    </row>
    <row r="425" spans="1:13" x14ac:dyDescent="0.4">
      <c r="A425" s="165">
        <v>199.5</v>
      </c>
      <c r="B425" s="166">
        <f t="shared" si="39"/>
        <v>199.4</v>
      </c>
      <c r="C425" s="166">
        <f t="shared" si="40"/>
        <v>1584059.9000625003</v>
      </c>
      <c r="G425" s="165">
        <v>199.5</v>
      </c>
      <c r="K425" s="165">
        <v>199.5</v>
      </c>
      <c r="M425" s="170"/>
    </row>
    <row r="426" spans="1:13" x14ac:dyDescent="0.4">
      <c r="A426" s="165">
        <v>200</v>
      </c>
      <c r="B426" s="166">
        <f t="shared" si="39"/>
        <v>199.9</v>
      </c>
      <c r="C426" s="166">
        <f t="shared" si="40"/>
        <v>1600000</v>
      </c>
      <c r="E426" s="166">
        <f>I426*1000</f>
        <v>993103.44827586215</v>
      </c>
      <c r="G426" s="165">
        <v>200</v>
      </c>
      <c r="I426" s="167">
        <f>(18/29)*(C426)/1000</f>
        <v>993.10344827586209</v>
      </c>
      <c r="J426" s="168">
        <f>((22.41/273)*(A426+273))*((1/29)+((1/18)*I426))</f>
        <v>2143.5503258810154</v>
      </c>
      <c r="K426" s="165">
        <v>200</v>
      </c>
      <c r="M426" s="170"/>
    </row>
    <row r="427" spans="1:13" x14ac:dyDescent="0.4">
      <c r="A427" s="172">
        <v>200.5</v>
      </c>
      <c r="B427" s="172">
        <f t="shared" si="39"/>
        <v>200.4</v>
      </c>
      <c r="C427" s="172"/>
      <c r="D427" s="172"/>
      <c r="F427" s="172"/>
      <c r="G427" s="172">
        <v>200.5</v>
      </c>
      <c r="H427" s="172"/>
      <c r="I427" s="173"/>
      <c r="J427" s="172"/>
      <c r="K427" s="172">
        <v>200.5</v>
      </c>
      <c r="M427" s="170"/>
    </row>
    <row r="428" spans="1:13" x14ac:dyDescent="0.4">
      <c r="A428" s="172">
        <v>201</v>
      </c>
      <c r="B428" s="172">
        <f t="shared" si="39"/>
        <v>200.9</v>
      </c>
      <c r="C428" s="172"/>
      <c r="D428" s="172"/>
      <c r="F428" s="172"/>
      <c r="G428" s="172">
        <v>201</v>
      </c>
      <c r="H428" s="172"/>
      <c r="I428" s="173"/>
      <c r="J428" s="172"/>
      <c r="K428" s="172">
        <v>201</v>
      </c>
      <c r="M428" s="170"/>
    </row>
    <row r="429" spans="1:13" x14ac:dyDescent="0.4">
      <c r="A429" s="172">
        <v>201.5</v>
      </c>
      <c r="B429" s="172">
        <f t="shared" si="39"/>
        <v>201.4</v>
      </c>
      <c r="C429" s="172"/>
      <c r="D429" s="172"/>
      <c r="F429" s="172"/>
      <c r="G429" s="172">
        <v>201.5</v>
      </c>
      <c r="H429" s="172"/>
      <c r="I429" s="173"/>
      <c r="J429" s="172"/>
      <c r="K429" s="172">
        <v>201.5</v>
      </c>
      <c r="M429" s="170"/>
    </row>
    <row r="430" spans="1:13" x14ac:dyDescent="0.4">
      <c r="A430" s="172">
        <v>202</v>
      </c>
      <c r="B430" s="172">
        <f t="shared" si="39"/>
        <v>201.9</v>
      </c>
      <c r="C430" s="172"/>
      <c r="D430" s="172"/>
      <c r="F430" s="172"/>
      <c r="G430" s="172">
        <v>202</v>
      </c>
      <c r="H430" s="172"/>
      <c r="I430" s="173"/>
      <c r="J430" s="172"/>
      <c r="K430" s="172">
        <v>202</v>
      </c>
      <c r="M430" s="170"/>
    </row>
    <row r="431" spans="1:13" x14ac:dyDescent="0.4">
      <c r="A431" s="172">
        <v>202.5</v>
      </c>
      <c r="B431" s="172">
        <f t="shared" si="39"/>
        <v>202.4</v>
      </c>
      <c r="C431" s="172"/>
      <c r="D431" s="172"/>
      <c r="F431" s="172"/>
      <c r="G431" s="172">
        <v>202.5</v>
      </c>
      <c r="H431" s="172"/>
      <c r="I431" s="173"/>
      <c r="J431" s="172"/>
      <c r="K431" s="172">
        <v>202.5</v>
      </c>
      <c r="M431" s="170"/>
    </row>
    <row r="432" spans="1:13" x14ac:dyDescent="0.4">
      <c r="A432" s="172">
        <v>203</v>
      </c>
      <c r="B432" s="172">
        <f t="shared" si="39"/>
        <v>202.9</v>
      </c>
      <c r="C432" s="172"/>
      <c r="D432" s="172"/>
      <c r="F432" s="172"/>
      <c r="G432" s="172">
        <v>203</v>
      </c>
      <c r="H432" s="172"/>
      <c r="I432" s="173"/>
      <c r="J432" s="172"/>
      <c r="K432" s="172">
        <v>203</v>
      </c>
      <c r="M432" s="170"/>
    </row>
    <row r="433" spans="1:13" x14ac:dyDescent="0.4">
      <c r="A433" s="172">
        <v>203.5</v>
      </c>
      <c r="B433" s="172">
        <f t="shared" si="39"/>
        <v>203.4</v>
      </c>
      <c r="C433" s="172"/>
      <c r="D433" s="172"/>
      <c r="F433" s="172"/>
      <c r="G433" s="172">
        <v>203.5</v>
      </c>
      <c r="H433" s="172"/>
      <c r="I433" s="173"/>
      <c r="J433" s="172"/>
      <c r="K433" s="172">
        <v>203.5</v>
      </c>
      <c r="M433" s="170"/>
    </row>
    <row r="434" spans="1:13" x14ac:dyDescent="0.4">
      <c r="A434" s="172">
        <v>204</v>
      </c>
      <c r="B434" s="172">
        <f t="shared" si="39"/>
        <v>203.9</v>
      </c>
      <c r="C434" s="172"/>
      <c r="D434" s="172"/>
      <c r="F434" s="172"/>
      <c r="G434" s="172">
        <v>204</v>
      </c>
      <c r="H434" s="172"/>
      <c r="I434" s="173"/>
      <c r="J434" s="172"/>
      <c r="K434" s="172">
        <v>204</v>
      </c>
      <c r="M434" s="170"/>
    </row>
    <row r="435" spans="1:13" x14ac:dyDescent="0.4">
      <c r="A435" s="172">
        <v>204.5</v>
      </c>
      <c r="B435" s="172">
        <f t="shared" si="39"/>
        <v>204.4</v>
      </c>
      <c r="C435" s="172"/>
      <c r="D435" s="172"/>
      <c r="F435" s="172"/>
      <c r="G435" s="172">
        <v>204.5</v>
      </c>
      <c r="H435" s="172"/>
      <c r="I435" s="173"/>
      <c r="J435" s="172"/>
      <c r="K435" s="172">
        <v>204.5</v>
      </c>
      <c r="M435" s="170"/>
    </row>
    <row r="436" spans="1:13" x14ac:dyDescent="0.4">
      <c r="A436" s="172">
        <v>205</v>
      </c>
      <c r="B436" s="172">
        <f t="shared" si="39"/>
        <v>204.9</v>
      </c>
      <c r="C436" s="172"/>
      <c r="D436" s="172"/>
      <c r="F436" s="172"/>
      <c r="G436" s="172">
        <v>205</v>
      </c>
      <c r="H436" s="172"/>
      <c r="I436" s="173"/>
      <c r="J436" s="172"/>
      <c r="K436" s="172">
        <v>205</v>
      </c>
      <c r="M436" s="170"/>
    </row>
    <row r="437" spans="1:13" x14ac:dyDescent="0.4">
      <c r="A437" s="172">
        <v>205.5</v>
      </c>
      <c r="B437" s="172">
        <f t="shared" si="39"/>
        <v>205.4</v>
      </c>
      <c r="C437" s="172"/>
      <c r="D437" s="172"/>
      <c r="F437" s="172"/>
      <c r="G437" s="172">
        <v>205.5</v>
      </c>
      <c r="H437" s="172"/>
      <c r="I437" s="173"/>
      <c r="J437" s="172"/>
      <c r="K437" s="172">
        <v>205.5</v>
      </c>
      <c r="M437" s="170"/>
    </row>
    <row r="438" spans="1:13" x14ac:dyDescent="0.4">
      <c r="A438" s="172">
        <v>206</v>
      </c>
      <c r="B438" s="172">
        <f t="shared" si="39"/>
        <v>205.9</v>
      </c>
      <c r="C438" s="172"/>
      <c r="D438" s="172"/>
      <c r="F438" s="172"/>
      <c r="G438" s="172">
        <v>206</v>
      </c>
      <c r="H438" s="172"/>
      <c r="I438" s="173"/>
      <c r="J438" s="172"/>
      <c r="K438" s="172">
        <v>206</v>
      </c>
      <c r="M438" s="170"/>
    </row>
    <row r="439" spans="1:13" x14ac:dyDescent="0.4">
      <c r="A439" s="172">
        <v>206.5</v>
      </c>
      <c r="B439" s="172">
        <f t="shared" si="39"/>
        <v>206.4</v>
      </c>
      <c r="C439" s="172"/>
      <c r="D439" s="172"/>
      <c r="F439" s="172"/>
      <c r="G439" s="172">
        <v>206.5</v>
      </c>
      <c r="H439" s="172"/>
      <c r="I439" s="173"/>
      <c r="J439" s="172"/>
      <c r="K439" s="172">
        <v>206.5</v>
      </c>
      <c r="M439" s="170"/>
    </row>
    <row r="440" spans="1:13" x14ac:dyDescent="0.4">
      <c r="A440" s="172">
        <v>207</v>
      </c>
      <c r="B440" s="172">
        <f t="shared" si="39"/>
        <v>206.9</v>
      </c>
      <c r="C440" s="172"/>
      <c r="D440" s="172"/>
      <c r="F440" s="172"/>
      <c r="G440" s="172">
        <v>207</v>
      </c>
      <c r="H440" s="172"/>
      <c r="I440" s="173"/>
      <c r="J440" s="172"/>
      <c r="K440" s="172">
        <v>207</v>
      </c>
      <c r="M440" s="170"/>
    </row>
    <row r="441" spans="1:13" x14ac:dyDescent="0.4">
      <c r="A441" s="172">
        <v>207.5</v>
      </c>
      <c r="B441" s="172">
        <f t="shared" si="39"/>
        <v>207.4</v>
      </c>
      <c r="C441" s="172"/>
      <c r="D441" s="172"/>
      <c r="F441" s="172"/>
      <c r="G441" s="172">
        <v>207.5</v>
      </c>
      <c r="H441" s="172"/>
      <c r="I441" s="173"/>
      <c r="J441" s="172"/>
      <c r="K441" s="172">
        <v>207.5</v>
      </c>
      <c r="M441" s="170"/>
    </row>
    <row r="442" spans="1:13" x14ac:dyDescent="0.4">
      <c r="A442" s="172">
        <v>208</v>
      </c>
      <c r="B442" s="172">
        <f t="shared" si="39"/>
        <v>207.9</v>
      </c>
      <c r="C442" s="172"/>
      <c r="D442" s="172"/>
      <c r="F442" s="172"/>
      <c r="G442" s="172">
        <v>208</v>
      </c>
      <c r="H442" s="172"/>
      <c r="I442" s="173"/>
      <c r="J442" s="172"/>
      <c r="K442" s="172">
        <v>208</v>
      </c>
      <c r="M442" s="170"/>
    </row>
    <row r="443" spans="1:13" x14ac:dyDescent="0.4">
      <c r="A443" s="172">
        <v>208.5</v>
      </c>
      <c r="B443" s="172">
        <f t="shared" si="39"/>
        <v>208.4</v>
      </c>
      <c r="C443" s="172"/>
      <c r="D443" s="172"/>
      <c r="F443" s="172"/>
      <c r="G443" s="172">
        <v>208.5</v>
      </c>
      <c r="H443" s="172"/>
      <c r="I443" s="173"/>
      <c r="J443" s="172"/>
      <c r="K443" s="172">
        <v>208.5</v>
      </c>
      <c r="M443" s="170"/>
    </row>
    <row r="444" spans="1:13" x14ac:dyDescent="0.4">
      <c r="A444" s="172">
        <v>209</v>
      </c>
      <c r="B444" s="172">
        <f t="shared" si="39"/>
        <v>208.9</v>
      </c>
      <c r="C444" s="172"/>
      <c r="D444" s="172"/>
      <c r="F444" s="172"/>
      <c r="G444" s="172">
        <v>209</v>
      </c>
      <c r="H444" s="172"/>
      <c r="I444" s="173"/>
      <c r="J444" s="172"/>
      <c r="K444" s="172">
        <v>209</v>
      </c>
      <c r="M444" s="170"/>
    </row>
    <row r="445" spans="1:13" x14ac:dyDescent="0.4">
      <c r="A445" s="172">
        <v>209.5</v>
      </c>
      <c r="B445" s="172">
        <f t="shared" si="39"/>
        <v>209.4</v>
      </c>
      <c r="C445" s="172"/>
      <c r="D445" s="172"/>
      <c r="F445" s="172"/>
      <c r="G445" s="172">
        <v>209.5</v>
      </c>
      <c r="H445" s="172"/>
      <c r="I445" s="173"/>
      <c r="J445" s="172"/>
      <c r="K445" s="172">
        <v>209.5</v>
      </c>
      <c r="M445" s="170"/>
    </row>
    <row r="446" spans="1:13" x14ac:dyDescent="0.4">
      <c r="A446" s="172">
        <v>210</v>
      </c>
      <c r="B446" s="172">
        <f t="shared" si="39"/>
        <v>209.9</v>
      </c>
      <c r="C446" s="172"/>
      <c r="D446" s="172"/>
      <c r="F446" s="172"/>
      <c r="G446" s="172">
        <v>210</v>
      </c>
      <c r="H446" s="172"/>
      <c r="I446" s="173"/>
      <c r="J446" s="172"/>
      <c r="K446" s="172">
        <v>210</v>
      </c>
      <c r="M446" s="170"/>
    </row>
    <row r="447" spans="1:13" x14ac:dyDescent="0.4">
      <c r="A447" s="172">
        <v>210.5</v>
      </c>
      <c r="B447" s="172">
        <f t="shared" si="39"/>
        <v>210.4</v>
      </c>
      <c r="C447" s="172"/>
      <c r="D447" s="172"/>
      <c r="F447" s="172"/>
      <c r="G447" s="172">
        <v>210.5</v>
      </c>
      <c r="H447" s="172"/>
      <c r="I447" s="173"/>
      <c r="J447" s="172"/>
      <c r="K447" s="172">
        <v>210.5</v>
      </c>
      <c r="M447" s="170"/>
    </row>
    <row r="448" spans="1:13" x14ac:dyDescent="0.4">
      <c r="A448" s="172">
        <v>211</v>
      </c>
      <c r="B448" s="172">
        <f t="shared" si="39"/>
        <v>210.9</v>
      </c>
      <c r="C448" s="172"/>
      <c r="D448" s="172"/>
      <c r="F448" s="172"/>
      <c r="G448" s="172">
        <v>211</v>
      </c>
      <c r="H448" s="172"/>
      <c r="I448" s="173"/>
      <c r="J448" s="172"/>
      <c r="K448" s="172">
        <v>211</v>
      </c>
      <c r="M448" s="170"/>
    </row>
    <row r="449" spans="1:13" x14ac:dyDescent="0.4">
      <c r="A449" s="172">
        <v>211.5</v>
      </c>
      <c r="B449" s="172">
        <f t="shared" si="39"/>
        <v>211.4</v>
      </c>
      <c r="C449" s="172"/>
      <c r="D449" s="172"/>
      <c r="F449" s="172"/>
      <c r="G449" s="172">
        <v>211.5</v>
      </c>
      <c r="H449" s="172"/>
      <c r="I449" s="173"/>
      <c r="J449" s="172"/>
      <c r="K449" s="172">
        <v>211.5</v>
      </c>
      <c r="M449" s="170"/>
    </row>
    <row r="450" spans="1:13" x14ac:dyDescent="0.4">
      <c r="A450" s="172">
        <v>212</v>
      </c>
      <c r="B450" s="172">
        <f t="shared" si="39"/>
        <v>211.9</v>
      </c>
      <c r="C450" s="172"/>
      <c r="D450" s="172"/>
      <c r="F450" s="172"/>
      <c r="G450" s="172">
        <v>212</v>
      </c>
      <c r="H450" s="172"/>
      <c r="I450" s="173"/>
      <c r="J450" s="172"/>
      <c r="K450" s="172">
        <v>212</v>
      </c>
      <c r="M450" s="170"/>
    </row>
    <row r="451" spans="1:13" x14ac:dyDescent="0.4">
      <c r="A451" s="172">
        <v>212.5</v>
      </c>
      <c r="B451" s="172">
        <f t="shared" si="39"/>
        <v>212.4</v>
      </c>
      <c r="C451" s="172"/>
      <c r="D451" s="172"/>
      <c r="F451" s="172"/>
      <c r="G451" s="172">
        <v>212.5</v>
      </c>
      <c r="H451" s="172"/>
      <c r="I451" s="173"/>
      <c r="J451" s="172"/>
      <c r="K451" s="172">
        <v>212.5</v>
      </c>
      <c r="M451" s="170"/>
    </row>
    <row r="452" spans="1:13" x14ac:dyDescent="0.4">
      <c r="A452" s="172">
        <v>213</v>
      </c>
      <c r="B452" s="172">
        <f t="shared" si="39"/>
        <v>212.9</v>
      </c>
      <c r="C452" s="172"/>
      <c r="D452" s="172"/>
      <c r="F452" s="172"/>
      <c r="G452" s="172">
        <v>213</v>
      </c>
      <c r="H452" s="172"/>
      <c r="I452" s="173"/>
      <c r="J452" s="172"/>
      <c r="K452" s="172">
        <v>213</v>
      </c>
      <c r="M452" s="170"/>
    </row>
    <row r="453" spans="1:13" x14ac:dyDescent="0.4">
      <c r="A453" s="172">
        <v>213.5</v>
      </c>
      <c r="B453" s="172">
        <f t="shared" si="39"/>
        <v>213.4</v>
      </c>
      <c r="C453" s="172"/>
      <c r="D453" s="172"/>
      <c r="F453" s="172"/>
      <c r="G453" s="172">
        <v>213.5</v>
      </c>
      <c r="H453" s="172"/>
      <c r="I453" s="173"/>
      <c r="J453" s="172"/>
      <c r="K453" s="172">
        <v>213.5</v>
      </c>
      <c r="M453" s="170"/>
    </row>
    <row r="454" spans="1:13" x14ac:dyDescent="0.4">
      <c r="A454" s="172">
        <v>214</v>
      </c>
      <c r="B454" s="172">
        <f t="shared" si="39"/>
        <v>213.9</v>
      </c>
      <c r="C454" s="172"/>
      <c r="D454" s="172"/>
      <c r="F454" s="172"/>
      <c r="G454" s="172">
        <v>214</v>
      </c>
      <c r="H454" s="172"/>
      <c r="I454" s="173"/>
      <c r="J454" s="172"/>
      <c r="K454" s="172">
        <v>214</v>
      </c>
      <c r="M454" s="170"/>
    </row>
    <row r="455" spans="1:13" x14ac:dyDescent="0.4">
      <c r="A455" s="172">
        <v>214.5</v>
      </c>
      <c r="B455" s="172">
        <f t="shared" si="39"/>
        <v>214.4</v>
      </c>
      <c r="C455" s="172"/>
      <c r="D455" s="172"/>
      <c r="F455" s="172"/>
      <c r="G455" s="172">
        <v>214.5</v>
      </c>
      <c r="H455" s="172"/>
      <c r="I455" s="173"/>
      <c r="J455" s="172"/>
      <c r="K455" s="172">
        <v>214.5</v>
      </c>
      <c r="M455" s="170"/>
    </row>
    <row r="456" spans="1:13" x14ac:dyDescent="0.4">
      <c r="A456" s="172">
        <v>215</v>
      </c>
      <c r="B456" s="172">
        <f t="shared" si="39"/>
        <v>214.9</v>
      </c>
      <c r="C456" s="172"/>
      <c r="D456" s="172"/>
      <c r="F456" s="172"/>
      <c r="G456" s="172">
        <v>215</v>
      </c>
      <c r="H456" s="172"/>
      <c r="I456" s="173"/>
      <c r="J456" s="172"/>
      <c r="K456" s="172">
        <v>215</v>
      </c>
      <c r="M456" s="170"/>
    </row>
    <row r="457" spans="1:13" x14ac:dyDescent="0.4">
      <c r="A457" s="172">
        <v>215.5</v>
      </c>
      <c r="B457" s="172">
        <f t="shared" si="39"/>
        <v>215.4</v>
      </c>
      <c r="C457" s="172"/>
      <c r="D457" s="172"/>
      <c r="F457" s="172"/>
      <c r="G457" s="172">
        <v>215.5</v>
      </c>
      <c r="H457" s="172"/>
      <c r="I457" s="173"/>
      <c r="J457" s="172"/>
      <c r="K457" s="172">
        <v>215.5</v>
      </c>
      <c r="M457" s="170"/>
    </row>
    <row r="458" spans="1:13" x14ac:dyDescent="0.4">
      <c r="A458" s="172">
        <v>216</v>
      </c>
      <c r="B458" s="172">
        <f t="shared" si="39"/>
        <v>215.9</v>
      </c>
      <c r="C458" s="172"/>
      <c r="D458" s="172"/>
      <c r="F458" s="172"/>
      <c r="G458" s="172">
        <v>216</v>
      </c>
      <c r="H458" s="172"/>
      <c r="I458" s="173"/>
      <c r="J458" s="172"/>
      <c r="K458" s="172">
        <v>216</v>
      </c>
      <c r="M458" s="170"/>
    </row>
    <row r="459" spans="1:13" x14ac:dyDescent="0.4">
      <c r="A459" s="172">
        <v>216.5</v>
      </c>
      <c r="B459" s="172">
        <f t="shared" si="39"/>
        <v>216.4</v>
      </c>
      <c r="C459" s="172"/>
      <c r="D459" s="172"/>
      <c r="F459" s="172"/>
      <c r="G459" s="172">
        <v>216.5</v>
      </c>
      <c r="H459" s="172"/>
      <c r="I459" s="173"/>
      <c r="J459" s="172"/>
      <c r="K459" s="172">
        <v>216.5</v>
      </c>
      <c r="M459" s="170"/>
    </row>
    <row r="460" spans="1:13" x14ac:dyDescent="0.4">
      <c r="A460" s="172">
        <v>217</v>
      </c>
      <c r="B460" s="172">
        <f t="shared" si="39"/>
        <v>216.9</v>
      </c>
      <c r="C460" s="172"/>
      <c r="D460" s="172"/>
      <c r="F460" s="172"/>
      <c r="G460" s="172">
        <v>217</v>
      </c>
      <c r="H460" s="172"/>
      <c r="I460" s="173"/>
      <c r="J460" s="172"/>
      <c r="K460" s="172">
        <v>217</v>
      </c>
      <c r="M460" s="170"/>
    </row>
    <row r="461" spans="1:13" x14ac:dyDescent="0.4">
      <c r="A461" s="172">
        <v>217.5</v>
      </c>
      <c r="B461" s="172">
        <f t="shared" si="39"/>
        <v>217.4</v>
      </c>
      <c r="C461" s="172"/>
      <c r="D461" s="172"/>
      <c r="F461" s="172"/>
      <c r="G461" s="172">
        <v>217.5</v>
      </c>
      <c r="H461" s="172"/>
      <c r="I461" s="173"/>
      <c r="J461" s="172"/>
      <c r="K461" s="172">
        <v>217.5</v>
      </c>
      <c r="M461" s="170"/>
    </row>
    <row r="462" spans="1:13" x14ac:dyDescent="0.4">
      <c r="A462" s="172">
        <v>218</v>
      </c>
      <c r="B462" s="172">
        <f t="shared" si="39"/>
        <v>217.9</v>
      </c>
      <c r="C462" s="172"/>
      <c r="D462" s="172"/>
      <c r="F462" s="172"/>
      <c r="G462" s="172">
        <v>218</v>
      </c>
      <c r="H462" s="172"/>
      <c r="I462" s="173"/>
      <c r="J462" s="172"/>
      <c r="K462" s="172">
        <v>218</v>
      </c>
      <c r="M462" s="170"/>
    </row>
    <row r="463" spans="1:13" x14ac:dyDescent="0.4">
      <c r="A463" s="172">
        <v>218.5</v>
      </c>
      <c r="B463" s="172">
        <f t="shared" si="39"/>
        <v>218.4</v>
      </c>
      <c r="C463" s="172"/>
      <c r="D463" s="172"/>
      <c r="F463" s="172"/>
      <c r="G463" s="172">
        <v>218.5</v>
      </c>
      <c r="H463" s="172"/>
      <c r="I463" s="173"/>
      <c r="J463" s="172"/>
      <c r="K463" s="172">
        <v>218.5</v>
      </c>
      <c r="M463" s="170"/>
    </row>
    <row r="464" spans="1:13" x14ac:dyDescent="0.4">
      <c r="A464" s="172">
        <v>219</v>
      </c>
      <c r="B464" s="172">
        <f t="shared" si="39"/>
        <v>218.9</v>
      </c>
      <c r="C464" s="172"/>
      <c r="D464" s="172"/>
      <c r="F464" s="172"/>
      <c r="G464" s="172">
        <v>219</v>
      </c>
      <c r="H464" s="172"/>
      <c r="I464" s="173"/>
      <c r="J464" s="172"/>
      <c r="K464" s="172">
        <v>219</v>
      </c>
      <c r="M464" s="170"/>
    </row>
    <row r="465" spans="1:13" x14ac:dyDescent="0.4">
      <c r="A465" s="172">
        <v>219.5</v>
      </c>
      <c r="B465" s="172">
        <f t="shared" si="39"/>
        <v>219.4</v>
      </c>
      <c r="C465" s="172"/>
      <c r="D465" s="172"/>
      <c r="F465" s="172"/>
      <c r="G465" s="172">
        <v>219.5</v>
      </c>
      <c r="H465" s="172"/>
      <c r="I465" s="173"/>
      <c r="J465" s="172"/>
      <c r="K465" s="172">
        <v>219.5</v>
      </c>
      <c r="M465" s="170"/>
    </row>
    <row r="466" spans="1:13" x14ac:dyDescent="0.4">
      <c r="A466" s="172">
        <v>220</v>
      </c>
      <c r="B466" s="172">
        <f t="shared" si="39"/>
        <v>219.9</v>
      </c>
      <c r="C466" s="172">
        <v>2319190</v>
      </c>
      <c r="D466" s="172"/>
      <c r="E466" s="166">
        <f>I466*1000</f>
        <v>1439497.2413793104</v>
      </c>
      <c r="F466" s="172"/>
      <c r="G466" s="172">
        <v>220</v>
      </c>
      <c r="H466" s="172"/>
      <c r="I466" s="173">
        <f>(18/29)*(C466)/1000</f>
        <v>1439.4972413793105</v>
      </c>
      <c r="J466" s="174">
        <f>((22.41/273)*(A466+273))*((1/29)+((1/18)*I466))</f>
        <v>3237.8123967032961</v>
      </c>
      <c r="K466" s="172">
        <v>220</v>
      </c>
      <c r="M466" s="170"/>
    </row>
    <row r="467" spans="1:13" x14ac:dyDescent="0.4">
      <c r="A467" s="172">
        <v>220.5</v>
      </c>
      <c r="B467" s="172">
        <f t="shared" si="39"/>
        <v>220.4</v>
      </c>
      <c r="C467" s="172"/>
      <c r="D467" s="172"/>
      <c r="F467" s="172"/>
      <c r="G467" s="172">
        <v>220.5</v>
      </c>
      <c r="H467" s="172"/>
      <c r="I467" s="173"/>
      <c r="J467" s="172"/>
      <c r="K467" s="172">
        <v>220.5</v>
      </c>
      <c r="M467" s="170"/>
    </row>
    <row r="468" spans="1:13" x14ac:dyDescent="0.4">
      <c r="A468" s="172">
        <v>221</v>
      </c>
      <c r="B468" s="172">
        <f t="shared" si="39"/>
        <v>220.9</v>
      </c>
      <c r="C468" s="172"/>
      <c r="D468" s="172"/>
      <c r="F468" s="172"/>
      <c r="G468" s="172">
        <v>221</v>
      </c>
      <c r="H468" s="172"/>
      <c r="I468" s="173"/>
      <c r="J468" s="172"/>
      <c r="K468" s="172">
        <v>221</v>
      </c>
      <c r="M468" s="170"/>
    </row>
    <row r="469" spans="1:13" x14ac:dyDescent="0.4">
      <c r="A469" s="172">
        <v>221.5</v>
      </c>
      <c r="B469" s="172">
        <f t="shared" si="39"/>
        <v>221.4</v>
      </c>
      <c r="C469" s="172"/>
      <c r="D469" s="172"/>
      <c r="F469" s="172"/>
      <c r="G469" s="172">
        <v>221.5</v>
      </c>
      <c r="H469" s="172"/>
      <c r="I469" s="173"/>
      <c r="J469" s="172"/>
      <c r="K469" s="172">
        <v>221.5</v>
      </c>
      <c r="M469" s="170"/>
    </row>
    <row r="470" spans="1:13" x14ac:dyDescent="0.4">
      <c r="A470" s="172">
        <v>222</v>
      </c>
      <c r="B470" s="172">
        <f t="shared" si="39"/>
        <v>221.9</v>
      </c>
      <c r="C470" s="172"/>
      <c r="D470" s="172"/>
      <c r="F470" s="172"/>
      <c r="G470" s="172">
        <v>222</v>
      </c>
      <c r="H470" s="172"/>
      <c r="I470" s="173"/>
      <c r="J470" s="172"/>
      <c r="K470" s="172">
        <v>222</v>
      </c>
      <c r="M470" s="170"/>
    </row>
    <row r="471" spans="1:13" x14ac:dyDescent="0.4">
      <c r="A471" s="172">
        <v>222.5</v>
      </c>
      <c r="B471" s="172">
        <f t="shared" si="39"/>
        <v>222.4</v>
      </c>
      <c r="C471" s="172"/>
      <c r="D471" s="172"/>
      <c r="F471" s="172"/>
      <c r="G471" s="172">
        <v>222.5</v>
      </c>
      <c r="H471" s="172"/>
      <c r="I471" s="173"/>
      <c r="J471" s="172"/>
      <c r="K471" s="172">
        <v>222.5</v>
      </c>
      <c r="M471" s="170"/>
    </row>
    <row r="472" spans="1:13" x14ac:dyDescent="0.4">
      <c r="A472" s="172">
        <v>223</v>
      </c>
      <c r="B472" s="172">
        <f t="shared" si="39"/>
        <v>222.9</v>
      </c>
      <c r="C472" s="172"/>
      <c r="D472" s="172"/>
      <c r="F472" s="172"/>
      <c r="G472" s="172">
        <v>223</v>
      </c>
      <c r="H472" s="172"/>
      <c r="I472" s="173"/>
      <c r="J472" s="172"/>
      <c r="K472" s="172">
        <v>223</v>
      </c>
      <c r="M472" s="170"/>
    </row>
    <row r="473" spans="1:13" x14ac:dyDescent="0.4">
      <c r="A473" s="172">
        <v>223.5</v>
      </c>
      <c r="B473" s="172">
        <f t="shared" si="39"/>
        <v>223.4</v>
      </c>
      <c r="C473" s="172"/>
      <c r="D473" s="172"/>
      <c r="F473" s="172"/>
      <c r="G473" s="172">
        <v>223.5</v>
      </c>
      <c r="H473" s="172"/>
      <c r="I473" s="173"/>
      <c r="J473" s="172"/>
      <c r="K473" s="172">
        <v>223.5</v>
      </c>
      <c r="M473" s="170"/>
    </row>
    <row r="474" spans="1:13" x14ac:dyDescent="0.4">
      <c r="A474" s="172">
        <v>224</v>
      </c>
      <c r="B474" s="172">
        <f t="shared" ref="B474:B537" si="41">A474-0.1</f>
        <v>223.9</v>
      </c>
      <c r="C474" s="172"/>
      <c r="D474" s="172"/>
      <c r="F474" s="172"/>
      <c r="G474" s="172">
        <v>224</v>
      </c>
      <c r="H474" s="172"/>
      <c r="I474" s="173"/>
      <c r="J474" s="172"/>
      <c r="K474" s="172">
        <v>224</v>
      </c>
      <c r="M474" s="170"/>
    </row>
    <row r="475" spans="1:13" x14ac:dyDescent="0.4">
      <c r="A475" s="172">
        <v>224.5</v>
      </c>
      <c r="B475" s="172">
        <f t="shared" si="41"/>
        <v>224.4</v>
      </c>
      <c r="C475" s="172"/>
      <c r="D475" s="172"/>
      <c r="F475" s="172"/>
      <c r="G475" s="172">
        <v>224.5</v>
      </c>
      <c r="H475" s="172"/>
      <c r="I475" s="173"/>
      <c r="J475" s="172"/>
      <c r="K475" s="172">
        <v>224.5</v>
      </c>
      <c r="M475" s="170"/>
    </row>
    <row r="476" spans="1:13" x14ac:dyDescent="0.4">
      <c r="A476" s="172">
        <v>225</v>
      </c>
      <c r="B476" s="172">
        <f t="shared" si="41"/>
        <v>224.9</v>
      </c>
      <c r="C476" s="172"/>
      <c r="D476" s="172"/>
      <c r="F476" s="172"/>
      <c r="G476" s="172">
        <v>225</v>
      </c>
      <c r="H476" s="172"/>
      <c r="I476" s="173"/>
      <c r="J476" s="172"/>
      <c r="K476" s="172">
        <v>225</v>
      </c>
      <c r="M476" s="170"/>
    </row>
    <row r="477" spans="1:13" x14ac:dyDescent="0.4">
      <c r="A477" s="172">
        <v>225.5</v>
      </c>
      <c r="B477" s="172">
        <f t="shared" si="41"/>
        <v>225.4</v>
      </c>
      <c r="C477" s="172"/>
      <c r="D477" s="172"/>
      <c r="F477" s="172"/>
      <c r="G477" s="172">
        <v>225.5</v>
      </c>
      <c r="H477" s="172"/>
      <c r="I477" s="173"/>
      <c r="J477" s="172"/>
      <c r="K477" s="172">
        <v>225.5</v>
      </c>
      <c r="M477" s="170"/>
    </row>
    <row r="478" spans="1:13" x14ac:dyDescent="0.4">
      <c r="A478" s="172">
        <v>226</v>
      </c>
      <c r="B478" s="172">
        <f t="shared" si="41"/>
        <v>225.9</v>
      </c>
      <c r="C478" s="172"/>
      <c r="D478" s="172"/>
      <c r="F478" s="172"/>
      <c r="G478" s="172">
        <v>226</v>
      </c>
      <c r="H478" s="172"/>
      <c r="I478" s="173"/>
      <c r="J478" s="172"/>
      <c r="K478" s="172">
        <v>226</v>
      </c>
      <c r="M478" s="170"/>
    </row>
    <row r="479" spans="1:13" x14ac:dyDescent="0.4">
      <c r="A479" s="172">
        <v>226.5</v>
      </c>
      <c r="B479" s="172">
        <f t="shared" si="41"/>
        <v>226.4</v>
      </c>
      <c r="C479" s="172"/>
      <c r="D479" s="172"/>
      <c r="F479" s="172"/>
      <c r="G479" s="172">
        <v>226.5</v>
      </c>
      <c r="H479" s="172"/>
      <c r="I479" s="173"/>
      <c r="J479" s="172"/>
      <c r="K479" s="172">
        <v>226.5</v>
      </c>
      <c r="M479" s="170"/>
    </row>
    <row r="480" spans="1:13" x14ac:dyDescent="0.4">
      <c r="A480" s="172">
        <v>227</v>
      </c>
      <c r="B480" s="172">
        <f t="shared" si="41"/>
        <v>226.9</v>
      </c>
      <c r="C480" s="172"/>
      <c r="D480" s="172"/>
      <c r="F480" s="172"/>
      <c r="G480" s="172">
        <v>227</v>
      </c>
      <c r="H480" s="172"/>
      <c r="I480" s="173"/>
      <c r="J480" s="172"/>
      <c r="K480" s="172">
        <v>227</v>
      </c>
      <c r="M480" s="170"/>
    </row>
    <row r="481" spans="1:13" x14ac:dyDescent="0.4">
      <c r="A481" s="172">
        <v>227.5</v>
      </c>
      <c r="B481" s="172">
        <f t="shared" si="41"/>
        <v>227.4</v>
      </c>
      <c r="C481" s="172"/>
      <c r="D481" s="172"/>
      <c r="F481" s="172"/>
      <c r="G481" s="172">
        <v>227.5</v>
      </c>
      <c r="H481" s="172"/>
      <c r="I481" s="173"/>
      <c r="J481" s="172"/>
      <c r="K481" s="172">
        <v>227.5</v>
      </c>
      <c r="M481" s="170"/>
    </row>
    <row r="482" spans="1:13" x14ac:dyDescent="0.4">
      <c r="A482" s="172">
        <v>228</v>
      </c>
      <c r="B482" s="172">
        <f t="shared" si="41"/>
        <v>227.9</v>
      </c>
      <c r="C482" s="172"/>
      <c r="D482" s="172"/>
      <c r="F482" s="172"/>
      <c r="G482" s="172">
        <v>228</v>
      </c>
      <c r="H482" s="172"/>
      <c r="I482" s="173"/>
      <c r="J482" s="172"/>
      <c r="K482" s="172">
        <v>228</v>
      </c>
      <c r="M482" s="170"/>
    </row>
    <row r="483" spans="1:13" x14ac:dyDescent="0.4">
      <c r="A483" s="172">
        <v>228.5</v>
      </c>
      <c r="B483" s="172">
        <f t="shared" si="41"/>
        <v>228.4</v>
      </c>
      <c r="C483" s="172"/>
      <c r="D483" s="172"/>
      <c r="F483" s="172"/>
      <c r="G483" s="172">
        <v>228.5</v>
      </c>
      <c r="H483" s="172"/>
      <c r="I483" s="173"/>
      <c r="J483" s="172"/>
      <c r="K483" s="172">
        <v>228.5</v>
      </c>
      <c r="M483" s="170"/>
    </row>
    <row r="484" spans="1:13" x14ac:dyDescent="0.4">
      <c r="A484" s="172">
        <v>229</v>
      </c>
      <c r="B484" s="172">
        <f t="shared" si="41"/>
        <v>228.9</v>
      </c>
      <c r="C484" s="172"/>
      <c r="D484" s="172"/>
      <c r="F484" s="172"/>
      <c r="G484" s="172">
        <v>229</v>
      </c>
      <c r="H484" s="172"/>
      <c r="I484" s="173"/>
      <c r="J484" s="172"/>
      <c r="K484" s="172">
        <v>229</v>
      </c>
      <c r="M484" s="170"/>
    </row>
    <row r="485" spans="1:13" x14ac:dyDescent="0.4">
      <c r="A485" s="172">
        <v>229.5</v>
      </c>
      <c r="B485" s="172">
        <f t="shared" si="41"/>
        <v>229.4</v>
      </c>
      <c r="C485" s="172"/>
      <c r="D485" s="172"/>
      <c r="F485" s="172"/>
      <c r="G485" s="172">
        <v>229.5</v>
      </c>
      <c r="H485" s="172"/>
      <c r="I485" s="173"/>
      <c r="J485" s="172"/>
      <c r="K485" s="172">
        <v>229.5</v>
      </c>
      <c r="M485" s="170"/>
    </row>
    <row r="486" spans="1:13" x14ac:dyDescent="0.4">
      <c r="A486" s="172">
        <v>230</v>
      </c>
      <c r="B486" s="172">
        <f t="shared" si="41"/>
        <v>229.9</v>
      </c>
      <c r="C486" s="172"/>
      <c r="D486" s="172"/>
      <c r="F486" s="172"/>
      <c r="G486" s="172">
        <v>230</v>
      </c>
      <c r="H486" s="172"/>
      <c r="I486" s="173"/>
      <c r="J486" s="172"/>
      <c r="K486" s="172">
        <v>230</v>
      </c>
      <c r="M486" s="170"/>
    </row>
    <row r="487" spans="1:13" x14ac:dyDescent="0.4">
      <c r="A487" s="172">
        <v>230.5</v>
      </c>
      <c r="B487" s="172">
        <f t="shared" si="41"/>
        <v>230.4</v>
      </c>
      <c r="C487" s="172"/>
      <c r="D487" s="172"/>
      <c r="F487" s="172"/>
      <c r="G487" s="172">
        <v>230.5</v>
      </c>
      <c r="H487" s="172"/>
      <c r="I487" s="173"/>
      <c r="J487" s="172"/>
      <c r="K487" s="172">
        <v>230.5</v>
      </c>
      <c r="M487" s="170"/>
    </row>
    <row r="488" spans="1:13" x14ac:dyDescent="0.4">
      <c r="A488" s="172">
        <v>231</v>
      </c>
      <c r="B488" s="172">
        <f t="shared" si="41"/>
        <v>230.9</v>
      </c>
      <c r="C488" s="172"/>
      <c r="D488" s="172"/>
      <c r="F488" s="172"/>
      <c r="G488" s="172">
        <v>231</v>
      </c>
      <c r="H488" s="172"/>
      <c r="I488" s="173"/>
      <c r="J488" s="172"/>
      <c r="K488" s="172">
        <v>231</v>
      </c>
      <c r="M488" s="170"/>
    </row>
    <row r="489" spans="1:13" x14ac:dyDescent="0.4">
      <c r="A489" s="172">
        <v>231.5</v>
      </c>
      <c r="B489" s="172">
        <f t="shared" si="41"/>
        <v>231.4</v>
      </c>
      <c r="C489" s="172"/>
      <c r="D489" s="172"/>
      <c r="F489" s="172"/>
      <c r="G489" s="172">
        <v>231.5</v>
      </c>
      <c r="H489" s="172"/>
      <c r="I489" s="173"/>
      <c r="J489" s="172"/>
      <c r="K489" s="172">
        <v>231.5</v>
      </c>
      <c r="M489" s="170"/>
    </row>
    <row r="490" spans="1:13" x14ac:dyDescent="0.4">
      <c r="A490" s="172">
        <v>232</v>
      </c>
      <c r="B490" s="172">
        <f t="shared" si="41"/>
        <v>231.9</v>
      </c>
      <c r="C490" s="172"/>
      <c r="D490" s="172"/>
      <c r="F490" s="172"/>
      <c r="G490" s="172">
        <v>232</v>
      </c>
      <c r="H490" s="172"/>
      <c r="I490" s="173"/>
      <c r="J490" s="172"/>
      <c r="K490" s="172">
        <v>232</v>
      </c>
      <c r="M490" s="170"/>
    </row>
    <row r="491" spans="1:13" x14ac:dyDescent="0.4">
      <c r="A491" s="172">
        <v>232.5</v>
      </c>
      <c r="B491" s="172">
        <f t="shared" si="41"/>
        <v>232.4</v>
      </c>
      <c r="C491" s="172"/>
      <c r="D491" s="172"/>
      <c r="F491" s="172"/>
      <c r="G491" s="172">
        <v>232.5</v>
      </c>
      <c r="H491" s="172"/>
      <c r="I491" s="173"/>
      <c r="J491" s="172"/>
      <c r="K491" s="172">
        <v>232.5</v>
      </c>
      <c r="M491" s="170"/>
    </row>
    <row r="492" spans="1:13" x14ac:dyDescent="0.4">
      <c r="A492" s="172">
        <v>233</v>
      </c>
      <c r="B492" s="172">
        <f t="shared" si="41"/>
        <v>232.9</v>
      </c>
      <c r="C492" s="172"/>
      <c r="D492" s="172"/>
      <c r="F492" s="172"/>
      <c r="G492" s="172">
        <v>233</v>
      </c>
      <c r="H492" s="172"/>
      <c r="I492" s="173"/>
      <c r="J492" s="172"/>
      <c r="K492" s="172">
        <v>233</v>
      </c>
      <c r="M492" s="170"/>
    </row>
    <row r="493" spans="1:13" x14ac:dyDescent="0.4">
      <c r="A493" s="172">
        <v>233.5</v>
      </c>
      <c r="B493" s="172">
        <f t="shared" si="41"/>
        <v>233.4</v>
      </c>
      <c r="C493" s="172"/>
      <c r="D493" s="172"/>
      <c r="F493" s="172"/>
      <c r="G493" s="172">
        <v>233.5</v>
      </c>
      <c r="H493" s="172"/>
      <c r="I493" s="173"/>
      <c r="J493" s="172"/>
      <c r="K493" s="172">
        <v>233.5</v>
      </c>
      <c r="M493" s="170"/>
    </row>
    <row r="494" spans="1:13" x14ac:dyDescent="0.4">
      <c r="A494" s="172">
        <v>234</v>
      </c>
      <c r="B494" s="172">
        <f t="shared" si="41"/>
        <v>233.9</v>
      </c>
      <c r="C494" s="172"/>
      <c r="D494" s="172"/>
      <c r="F494" s="172"/>
      <c r="G494" s="172">
        <v>234</v>
      </c>
      <c r="H494" s="172"/>
      <c r="I494" s="173"/>
      <c r="J494" s="172"/>
      <c r="K494" s="172">
        <v>234</v>
      </c>
      <c r="M494" s="170"/>
    </row>
    <row r="495" spans="1:13" x14ac:dyDescent="0.4">
      <c r="A495" s="172">
        <v>234.5</v>
      </c>
      <c r="B495" s="172">
        <f t="shared" si="41"/>
        <v>234.4</v>
      </c>
      <c r="C495" s="172"/>
      <c r="D495" s="172"/>
      <c r="F495" s="172"/>
      <c r="G495" s="172">
        <v>234.5</v>
      </c>
      <c r="H495" s="172"/>
      <c r="I495" s="173"/>
      <c r="J495" s="172"/>
      <c r="K495" s="172">
        <v>234.5</v>
      </c>
      <c r="M495" s="170"/>
    </row>
    <row r="496" spans="1:13" x14ac:dyDescent="0.4">
      <c r="A496" s="172">
        <v>235</v>
      </c>
      <c r="B496" s="172">
        <f t="shared" si="41"/>
        <v>234.9</v>
      </c>
      <c r="C496" s="172"/>
      <c r="D496" s="172"/>
      <c r="F496" s="172"/>
      <c r="G496" s="172">
        <v>235</v>
      </c>
      <c r="H496" s="172"/>
      <c r="I496" s="173"/>
      <c r="J496" s="172"/>
      <c r="K496" s="172">
        <v>235</v>
      </c>
      <c r="M496" s="170"/>
    </row>
    <row r="497" spans="1:13" x14ac:dyDescent="0.4">
      <c r="A497" s="172">
        <v>235.5</v>
      </c>
      <c r="B497" s="172">
        <f t="shared" si="41"/>
        <v>235.4</v>
      </c>
      <c r="C497" s="172"/>
      <c r="D497" s="172"/>
      <c r="F497" s="172"/>
      <c r="G497" s="172">
        <v>235.5</v>
      </c>
      <c r="H497" s="172"/>
      <c r="I497" s="173"/>
      <c r="J497" s="172"/>
      <c r="K497" s="172">
        <v>235.5</v>
      </c>
      <c r="M497" s="170"/>
    </row>
    <row r="498" spans="1:13" x14ac:dyDescent="0.4">
      <c r="A498" s="172">
        <v>236</v>
      </c>
      <c r="B498" s="172">
        <f t="shared" si="41"/>
        <v>235.9</v>
      </c>
      <c r="C498" s="172"/>
      <c r="D498" s="172"/>
      <c r="F498" s="172"/>
      <c r="G498" s="172">
        <v>236</v>
      </c>
      <c r="H498" s="172"/>
      <c r="I498" s="173"/>
      <c r="J498" s="172"/>
      <c r="K498" s="172">
        <v>236</v>
      </c>
      <c r="M498" s="170"/>
    </row>
    <row r="499" spans="1:13" x14ac:dyDescent="0.4">
      <c r="A499" s="172">
        <v>236.5</v>
      </c>
      <c r="B499" s="172">
        <f t="shared" si="41"/>
        <v>236.4</v>
      </c>
      <c r="C499" s="172"/>
      <c r="D499" s="172"/>
      <c r="F499" s="172"/>
      <c r="G499" s="172">
        <v>236.5</v>
      </c>
      <c r="H499" s="172"/>
      <c r="I499" s="173"/>
      <c r="J499" s="172"/>
      <c r="K499" s="172">
        <v>236.5</v>
      </c>
      <c r="M499" s="170"/>
    </row>
    <row r="500" spans="1:13" x14ac:dyDescent="0.4">
      <c r="A500" s="172">
        <v>237</v>
      </c>
      <c r="B500" s="172">
        <f t="shared" si="41"/>
        <v>236.9</v>
      </c>
      <c r="C500" s="172"/>
      <c r="D500" s="172"/>
      <c r="F500" s="172"/>
      <c r="G500" s="172">
        <v>237</v>
      </c>
      <c r="H500" s="172"/>
      <c r="I500" s="173"/>
      <c r="J500" s="172"/>
      <c r="K500" s="172">
        <v>237</v>
      </c>
      <c r="M500" s="170"/>
    </row>
    <row r="501" spans="1:13" x14ac:dyDescent="0.4">
      <c r="A501" s="172">
        <v>237.5</v>
      </c>
      <c r="B501" s="172">
        <f t="shared" si="41"/>
        <v>237.4</v>
      </c>
      <c r="C501" s="172"/>
      <c r="D501" s="172"/>
      <c r="F501" s="172"/>
      <c r="G501" s="172">
        <v>237.5</v>
      </c>
      <c r="H501" s="172"/>
      <c r="I501" s="173"/>
      <c r="J501" s="172"/>
      <c r="K501" s="172">
        <v>237.5</v>
      </c>
      <c r="M501" s="170"/>
    </row>
    <row r="502" spans="1:13" x14ac:dyDescent="0.4">
      <c r="A502" s="172">
        <v>238</v>
      </c>
      <c r="B502" s="172">
        <f t="shared" si="41"/>
        <v>237.9</v>
      </c>
      <c r="C502" s="172"/>
      <c r="D502" s="172"/>
      <c r="F502" s="172"/>
      <c r="G502" s="172">
        <v>238</v>
      </c>
      <c r="H502" s="172"/>
      <c r="I502" s="173"/>
      <c r="J502" s="172"/>
      <c r="K502" s="172">
        <v>238</v>
      </c>
      <c r="M502" s="170"/>
    </row>
    <row r="503" spans="1:13" x14ac:dyDescent="0.4">
      <c r="A503" s="172">
        <v>238.5</v>
      </c>
      <c r="B503" s="172">
        <f t="shared" si="41"/>
        <v>238.4</v>
      </c>
      <c r="C503" s="172"/>
      <c r="D503" s="172"/>
      <c r="F503" s="172"/>
      <c r="G503" s="172">
        <v>238.5</v>
      </c>
      <c r="H503" s="172"/>
      <c r="I503" s="173"/>
      <c r="J503" s="172"/>
      <c r="K503" s="172">
        <v>238.5</v>
      </c>
      <c r="M503" s="170"/>
    </row>
    <row r="504" spans="1:13" x14ac:dyDescent="0.4">
      <c r="A504" s="172">
        <v>239</v>
      </c>
      <c r="B504" s="172">
        <f t="shared" si="41"/>
        <v>238.9</v>
      </c>
      <c r="C504" s="172"/>
      <c r="D504" s="172"/>
      <c r="F504" s="172"/>
      <c r="G504" s="172">
        <v>239</v>
      </c>
      <c r="H504" s="172"/>
      <c r="I504" s="173"/>
      <c r="J504" s="172"/>
      <c r="K504" s="172">
        <v>239</v>
      </c>
      <c r="M504" s="170"/>
    </row>
    <row r="505" spans="1:13" x14ac:dyDescent="0.4">
      <c r="A505" s="172">
        <v>239.5</v>
      </c>
      <c r="B505" s="172">
        <f t="shared" si="41"/>
        <v>239.4</v>
      </c>
      <c r="C505" s="172"/>
      <c r="D505" s="172"/>
      <c r="F505" s="172"/>
      <c r="G505" s="172">
        <v>239.5</v>
      </c>
      <c r="H505" s="172"/>
      <c r="I505" s="173"/>
      <c r="J505" s="172"/>
      <c r="K505" s="172">
        <v>239.5</v>
      </c>
      <c r="M505" s="170"/>
    </row>
    <row r="506" spans="1:13" x14ac:dyDescent="0.4">
      <c r="A506" s="172">
        <v>240</v>
      </c>
      <c r="B506" s="172">
        <f t="shared" si="41"/>
        <v>239.9</v>
      </c>
      <c r="C506" s="172">
        <v>3346400</v>
      </c>
      <c r="D506" s="172"/>
      <c r="E506" s="166">
        <f>I506*1000</f>
        <v>2077075.8620689658</v>
      </c>
      <c r="F506" s="172"/>
      <c r="G506" s="172">
        <v>240</v>
      </c>
      <c r="H506" s="172"/>
      <c r="I506" s="173">
        <f>(18/29)*(C506)/1000</f>
        <v>2077.0758620689658</v>
      </c>
      <c r="J506" s="174">
        <f>((22.41/273)*(A506+273))*((1/29)+((1/18)*I506))</f>
        <v>4860.7824986737405</v>
      </c>
      <c r="K506" s="172">
        <v>240</v>
      </c>
      <c r="M506" s="170"/>
    </row>
    <row r="507" spans="1:13" x14ac:dyDescent="0.4">
      <c r="A507" s="172">
        <v>240.5</v>
      </c>
      <c r="B507" s="172">
        <f t="shared" si="41"/>
        <v>240.4</v>
      </c>
      <c r="C507" s="172"/>
      <c r="D507" s="172"/>
      <c r="F507" s="172"/>
      <c r="G507" s="172">
        <v>240.5</v>
      </c>
      <c r="H507" s="172"/>
      <c r="I507" s="173"/>
      <c r="J507" s="172"/>
      <c r="K507" s="172">
        <v>240.5</v>
      </c>
      <c r="M507" s="170"/>
    </row>
    <row r="508" spans="1:13" x14ac:dyDescent="0.4">
      <c r="A508" s="172">
        <v>241</v>
      </c>
      <c r="B508" s="172">
        <f t="shared" si="41"/>
        <v>240.9</v>
      </c>
      <c r="C508" s="172"/>
      <c r="D508" s="172"/>
      <c r="F508" s="172"/>
      <c r="G508" s="172">
        <v>241</v>
      </c>
      <c r="H508" s="172"/>
      <c r="I508" s="173"/>
      <c r="J508" s="172"/>
      <c r="K508" s="172">
        <v>241</v>
      </c>
      <c r="M508" s="170"/>
    </row>
    <row r="509" spans="1:13" x14ac:dyDescent="0.4">
      <c r="A509" s="172">
        <v>241.5</v>
      </c>
      <c r="B509" s="172">
        <f t="shared" si="41"/>
        <v>241.4</v>
      </c>
      <c r="C509" s="172"/>
      <c r="D509" s="172"/>
      <c r="F509" s="172"/>
      <c r="G509" s="172">
        <v>241.5</v>
      </c>
      <c r="H509" s="172"/>
      <c r="I509" s="173"/>
      <c r="J509" s="172"/>
      <c r="K509" s="172">
        <v>241.5</v>
      </c>
      <c r="M509" s="170"/>
    </row>
    <row r="510" spans="1:13" x14ac:dyDescent="0.4">
      <c r="A510" s="172">
        <v>242</v>
      </c>
      <c r="B510" s="172">
        <f t="shared" si="41"/>
        <v>241.9</v>
      </c>
      <c r="C510" s="172"/>
      <c r="D510" s="172"/>
      <c r="F510" s="172"/>
      <c r="G510" s="172">
        <v>242</v>
      </c>
      <c r="H510" s="172"/>
      <c r="I510" s="173"/>
      <c r="J510" s="172"/>
      <c r="K510" s="172">
        <v>242</v>
      </c>
      <c r="M510" s="170"/>
    </row>
    <row r="511" spans="1:13" x14ac:dyDescent="0.4">
      <c r="A511" s="172">
        <v>242.5</v>
      </c>
      <c r="B511" s="172">
        <f t="shared" si="41"/>
        <v>242.4</v>
      </c>
      <c r="C511" s="172"/>
      <c r="D511" s="172"/>
      <c r="F511" s="172"/>
      <c r="G511" s="172">
        <v>242.5</v>
      </c>
      <c r="H511" s="172"/>
      <c r="I511" s="173"/>
      <c r="J511" s="172"/>
      <c r="K511" s="172">
        <v>242.5</v>
      </c>
      <c r="M511" s="170"/>
    </row>
    <row r="512" spans="1:13" x14ac:dyDescent="0.4">
      <c r="A512" s="172">
        <v>243</v>
      </c>
      <c r="B512" s="172">
        <f t="shared" si="41"/>
        <v>242.9</v>
      </c>
      <c r="C512" s="172"/>
      <c r="D512" s="172"/>
      <c r="F512" s="172"/>
      <c r="G512" s="172">
        <v>243</v>
      </c>
      <c r="H512" s="172"/>
      <c r="I512" s="173"/>
      <c r="J512" s="172"/>
      <c r="K512" s="172">
        <v>243</v>
      </c>
      <c r="M512" s="170"/>
    </row>
    <row r="513" spans="1:13" x14ac:dyDescent="0.4">
      <c r="A513" s="172">
        <v>243.5</v>
      </c>
      <c r="B513" s="172">
        <f t="shared" si="41"/>
        <v>243.4</v>
      </c>
      <c r="C513" s="172"/>
      <c r="D513" s="172"/>
      <c r="F513" s="172"/>
      <c r="G513" s="172">
        <v>243.5</v>
      </c>
      <c r="H513" s="172"/>
      <c r="I513" s="173"/>
      <c r="J513" s="172"/>
      <c r="K513" s="172">
        <v>243.5</v>
      </c>
      <c r="M513" s="170"/>
    </row>
    <row r="514" spans="1:13" x14ac:dyDescent="0.4">
      <c r="A514" s="172">
        <v>244</v>
      </c>
      <c r="B514" s="172">
        <f t="shared" si="41"/>
        <v>243.9</v>
      </c>
      <c r="C514" s="172"/>
      <c r="D514" s="172"/>
      <c r="F514" s="172"/>
      <c r="G514" s="172">
        <v>244</v>
      </c>
      <c r="H514" s="172"/>
      <c r="I514" s="173"/>
      <c r="J514" s="172"/>
      <c r="K514" s="172">
        <v>244</v>
      </c>
      <c r="M514" s="170"/>
    </row>
    <row r="515" spans="1:13" x14ac:dyDescent="0.4">
      <c r="A515" s="172">
        <v>244.5</v>
      </c>
      <c r="B515" s="172">
        <f t="shared" si="41"/>
        <v>244.4</v>
      </c>
      <c r="C515" s="172"/>
      <c r="D515" s="172"/>
      <c r="F515" s="172"/>
      <c r="G515" s="172">
        <v>244.5</v>
      </c>
      <c r="H515" s="172"/>
      <c r="I515" s="173"/>
      <c r="J515" s="172"/>
      <c r="K515" s="172">
        <v>244.5</v>
      </c>
      <c r="M515" s="170"/>
    </row>
    <row r="516" spans="1:13" x14ac:dyDescent="0.4">
      <c r="A516" s="172">
        <v>245</v>
      </c>
      <c r="B516" s="172">
        <f t="shared" si="41"/>
        <v>244.9</v>
      </c>
      <c r="C516" s="172"/>
      <c r="D516" s="172"/>
      <c r="F516" s="172"/>
      <c r="G516" s="172">
        <v>245</v>
      </c>
      <c r="H516" s="172"/>
      <c r="I516" s="173"/>
      <c r="J516" s="172"/>
      <c r="K516" s="172">
        <v>245</v>
      </c>
      <c r="M516" s="170"/>
    </row>
    <row r="517" spans="1:13" x14ac:dyDescent="0.4">
      <c r="A517" s="172">
        <v>245.5</v>
      </c>
      <c r="B517" s="172">
        <f t="shared" si="41"/>
        <v>245.4</v>
      </c>
      <c r="C517" s="172"/>
      <c r="D517" s="172"/>
      <c r="F517" s="172"/>
      <c r="G517" s="172">
        <v>245.5</v>
      </c>
      <c r="H517" s="172"/>
      <c r="I517" s="173"/>
      <c r="J517" s="172"/>
      <c r="K517" s="172">
        <v>245.5</v>
      </c>
      <c r="M517" s="170"/>
    </row>
    <row r="518" spans="1:13" x14ac:dyDescent="0.4">
      <c r="A518" s="172">
        <v>246</v>
      </c>
      <c r="B518" s="172">
        <f t="shared" si="41"/>
        <v>245.9</v>
      </c>
      <c r="C518" s="172"/>
      <c r="D518" s="172"/>
      <c r="F518" s="172"/>
      <c r="G518" s="172">
        <v>246</v>
      </c>
      <c r="H518" s="172"/>
      <c r="I518" s="173"/>
      <c r="J518" s="172"/>
      <c r="K518" s="172">
        <v>246</v>
      </c>
      <c r="M518" s="170"/>
    </row>
    <row r="519" spans="1:13" x14ac:dyDescent="0.4">
      <c r="A519" s="172">
        <v>246.5</v>
      </c>
      <c r="B519" s="172">
        <f t="shared" si="41"/>
        <v>246.4</v>
      </c>
      <c r="C519" s="172"/>
      <c r="D519" s="172"/>
      <c r="F519" s="172"/>
      <c r="G519" s="172">
        <v>246.5</v>
      </c>
      <c r="H519" s="172"/>
      <c r="I519" s="173"/>
      <c r="J519" s="172"/>
      <c r="K519" s="172">
        <v>246.5</v>
      </c>
      <c r="M519" s="170"/>
    </row>
    <row r="520" spans="1:13" x14ac:dyDescent="0.4">
      <c r="A520" s="172">
        <v>247</v>
      </c>
      <c r="B520" s="172">
        <f t="shared" si="41"/>
        <v>246.9</v>
      </c>
      <c r="C520" s="172"/>
      <c r="D520" s="172"/>
      <c r="F520" s="172"/>
      <c r="G520" s="172">
        <v>247</v>
      </c>
      <c r="H520" s="172"/>
      <c r="I520" s="173"/>
      <c r="J520" s="172"/>
      <c r="K520" s="172">
        <v>247</v>
      </c>
      <c r="M520" s="170"/>
    </row>
    <row r="521" spans="1:13" x14ac:dyDescent="0.4">
      <c r="A521" s="172">
        <v>247.5</v>
      </c>
      <c r="B521" s="172">
        <f t="shared" si="41"/>
        <v>247.4</v>
      </c>
      <c r="C521" s="172"/>
      <c r="D521" s="172"/>
      <c r="F521" s="172"/>
      <c r="G521" s="172">
        <v>247.5</v>
      </c>
      <c r="H521" s="172"/>
      <c r="I521" s="173"/>
      <c r="J521" s="172"/>
      <c r="K521" s="172">
        <v>247.5</v>
      </c>
      <c r="M521" s="170"/>
    </row>
    <row r="522" spans="1:13" x14ac:dyDescent="0.4">
      <c r="A522" s="172">
        <v>248</v>
      </c>
      <c r="B522" s="172">
        <f t="shared" si="41"/>
        <v>247.9</v>
      </c>
      <c r="C522" s="172"/>
      <c r="D522" s="172"/>
      <c r="F522" s="172"/>
      <c r="G522" s="172">
        <v>248</v>
      </c>
      <c r="H522" s="172"/>
      <c r="I522" s="173"/>
      <c r="J522" s="172"/>
      <c r="K522" s="172">
        <v>248</v>
      </c>
      <c r="M522" s="170"/>
    </row>
    <row r="523" spans="1:13" x14ac:dyDescent="0.4">
      <c r="A523" s="172">
        <v>248.5</v>
      </c>
      <c r="B523" s="172">
        <f t="shared" si="41"/>
        <v>248.4</v>
      </c>
      <c r="C523" s="172"/>
      <c r="D523" s="172"/>
      <c r="F523" s="172"/>
      <c r="G523" s="172">
        <v>248.5</v>
      </c>
      <c r="H523" s="172"/>
      <c r="I523" s="173"/>
      <c r="J523" s="172"/>
      <c r="K523" s="172">
        <v>248.5</v>
      </c>
      <c r="M523" s="170"/>
    </row>
    <row r="524" spans="1:13" x14ac:dyDescent="0.4">
      <c r="A524" s="172">
        <v>249</v>
      </c>
      <c r="B524" s="172">
        <f t="shared" si="41"/>
        <v>248.9</v>
      </c>
      <c r="C524" s="172"/>
      <c r="D524" s="172"/>
      <c r="F524" s="172"/>
      <c r="G524" s="172">
        <v>249</v>
      </c>
      <c r="H524" s="172"/>
      <c r="I524" s="173"/>
      <c r="J524" s="172"/>
      <c r="K524" s="172">
        <v>249</v>
      </c>
      <c r="M524" s="170"/>
    </row>
    <row r="525" spans="1:13" x14ac:dyDescent="0.4">
      <c r="A525" s="172">
        <v>249.5</v>
      </c>
      <c r="B525" s="172">
        <f t="shared" si="41"/>
        <v>249.4</v>
      </c>
      <c r="C525" s="172"/>
      <c r="D525" s="172"/>
      <c r="F525" s="172"/>
      <c r="G525" s="172">
        <v>249.5</v>
      </c>
      <c r="H525" s="172"/>
      <c r="I525" s="173"/>
      <c r="J525" s="172"/>
      <c r="K525" s="172">
        <v>249.5</v>
      </c>
      <c r="M525" s="170"/>
    </row>
    <row r="526" spans="1:13" x14ac:dyDescent="0.4">
      <c r="A526" s="172">
        <v>250</v>
      </c>
      <c r="B526" s="172">
        <f t="shared" si="41"/>
        <v>249.9</v>
      </c>
      <c r="C526" s="172"/>
      <c r="D526" s="172"/>
      <c r="F526" s="172"/>
      <c r="G526" s="172">
        <v>250</v>
      </c>
      <c r="H526" s="172"/>
      <c r="I526" s="173"/>
      <c r="J526" s="172"/>
      <c r="K526" s="172">
        <v>250</v>
      </c>
      <c r="M526" s="170"/>
    </row>
    <row r="527" spans="1:13" x14ac:dyDescent="0.4">
      <c r="A527" s="172">
        <v>250.5</v>
      </c>
      <c r="B527" s="172">
        <f t="shared" si="41"/>
        <v>250.4</v>
      </c>
      <c r="C527" s="172"/>
      <c r="D527" s="172"/>
      <c r="F527" s="172"/>
      <c r="G527" s="172">
        <v>250.5</v>
      </c>
      <c r="H527" s="172"/>
      <c r="I527" s="173"/>
      <c r="J527" s="172"/>
      <c r="K527" s="172">
        <v>250.5</v>
      </c>
      <c r="M527" s="170"/>
    </row>
    <row r="528" spans="1:13" x14ac:dyDescent="0.4">
      <c r="A528" s="172">
        <v>251</v>
      </c>
      <c r="B528" s="172">
        <f t="shared" si="41"/>
        <v>250.9</v>
      </c>
      <c r="C528" s="172"/>
      <c r="D528" s="172"/>
      <c r="F528" s="172"/>
      <c r="G528" s="172">
        <v>251</v>
      </c>
      <c r="H528" s="172"/>
      <c r="I528" s="173"/>
      <c r="J528" s="172"/>
      <c r="K528" s="172">
        <v>251</v>
      </c>
      <c r="M528" s="170"/>
    </row>
    <row r="529" spans="1:13" x14ac:dyDescent="0.4">
      <c r="A529" s="172">
        <v>251.5</v>
      </c>
      <c r="B529" s="172">
        <f t="shared" si="41"/>
        <v>251.4</v>
      </c>
      <c r="C529" s="172"/>
      <c r="D529" s="172"/>
      <c r="F529" s="172"/>
      <c r="G529" s="172">
        <v>251.5</v>
      </c>
      <c r="H529" s="172"/>
      <c r="I529" s="173"/>
      <c r="J529" s="172"/>
      <c r="K529" s="172">
        <v>251.5</v>
      </c>
      <c r="M529" s="170"/>
    </row>
    <row r="530" spans="1:13" x14ac:dyDescent="0.4">
      <c r="A530" s="172">
        <v>252</v>
      </c>
      <c r="B530" s="172">
        <f t="shared" si="41"/>
        <v>251.9</v>
      </c>
      <c r="C530" s="172"/>
      <c r="D530" s="172"/>
      <c r="F530" s="172"/>
      <c r="G530" s="172">
        <v>252</v>
      </c>
      <c r="H530" s="172"/>
      <c r="I530" s="173"/>
      <c r="J530" s="172"/>
      <c r="K530" s="172">
        <v>252</v>
      </c>
      <c r="M530" s="170"/>
    </row>
    <row r="531" spans="1:13" x14ac:dyDescent="0.4">
      <c r="A531" s="172">
        <v>252.5</v>
      </c>
      <c r="B531" s="172">
        <f t="shared" si="41"/>
        <v>252.4</v>
      </c>
      <c r="C531" s="172"/>
      <c r="D531" s="172"/>
      <c r="F531" s="172"/>
      <c r="G531" s="172">
        <v>252.5</v>
      </c>
      <c r="H531" s="172"/>
      <c r="I531" s="173"/>
      <c r="J531" s="172"/>
      <c r="K531" s="172">
        <v>252.5</v>
      </c>
      <c r="M531" s="170"/>
    </row>
    <row r="532" spans="1:13" x14ac:dyDescent="0.4">
      <c r="A532" s="172">
        <v>253</v>
      </c>
      <c r="B532" s="172">
        <f t="shared" si="41"/>
        <v>252.9</v>
      </c>
      <c r="C532" s="172"/>
      <c r="D532" s="172"/>
      <c r="F532" s="172"/>
      <c r="G532" s="172">
        <v>253</v>
      </c>
      <c r="H532" s="172"/>
      <c r="I532" s="173"/>
      <c r="J532" s="172"/>
      <c r="K532" s="172">
        <v>253</v>
      </c>
      <c r="M532" s="170"/>
    </row>
    <row r="533" spans="1:13" x14ac:dyDescent="0.4">
      <c r="A533" s="172">
        <v>253.5</v>
      </c>
      <c r="B533" s="172">
        <f t="shared" si="41"/>
        <v>253.4</v>
      </c>
      <c r="C533" s="172"/>
      <c r="D533" s="172"/>
      <c r="F533" s="172"/>
      <c r="G533" s="172">
        <v>253.5</v>
      </c>
      <c r="H533" s="172"/>
      <c r="I533" s="173"/>
      <c r="J533" s="172"/>
      <c r="K533" s="172">
        <v>253.5</v>
      </c>
      <c r="M533" s="170"/>
    </row>
    <row r="534" spans="1:13" x14ac:dyDescent="0.4">
      <c r="A534" s="172">
        <v>254</v>
      </c>
      <c r="B534" s="172">
        <f t="shared" si="41"/>
        <v>253.9</v>
      </c>
      <c r="C534" s="172"/>
      <c r="D534" s="172"/>
      <c r="F534" s="172"/>
      <c r="G534" s="172">
        <v>254</v>
      </c>
      <c r="H534" s="172"/>
      <c r="I534" s="173"/>
      <c r="J534" s="172"/>
      <c r="K534" s="172">
        <v>254</v>
      </c>
      <c r="M534" s="170"/>
    </row>
    <row r="535" spans="1:13" x14ac:dyDescent="0.4">
      <c r="A535" s="172">
        <v>254.5</v>
      </c>
      <c r="B535" s="172">
        <f t="shared" si="41"/>
        <v>254.4</v>
      </c>
      <c r="C535" s="172"/>
      <c r="D535" s="172"/>
      <c r="F535" s="172"/>
      <c r="G535" s="172">
        <v>254.5</v>
      </c>
      <c r="H535" s="172"/>
      <c r="I535" s="173"/>
      <c r="J535" s="172"/>
      <c r="K535" s="172">
        <v>254.5</v>
      </c>
      <c r="M535" s="170"/>
    </row>
    <row r="536" spans="1:13" x14ac:dyDescent="0.4">
      <c r="A536" s="172">
        <v>255</v>
      </c>
      <c r="B536" s="172">
        <f t="shared" si="41"/>
        <v>254.9</v>
      </c>
      <c r="C536" s="172"/>
      <c r="D536" s="172"/>
      <c r="F536" s="172"/>
      <c r="G536" s="172">
        <v>255</v>
      </c>
      <c r="H536" s="172"/>
      <c r="I536" s="173"/>
      <c r="J536" s="172"/>
      <c r="K536" s="172">
        <v>255</v>
      </c>
      <c r="M536" s="170"/>
    </row>
    <row r="537" spans="1:13" x14ac:dyDescent="0.4">
      <c r="A537" s="172">
        <v>255.5</v>
      </c>
      <c r="B537" s="172">
        <f t="shared" si="41"/>
        <v>255.4</v>
      </c>
      <c r="C537" s="172"/>
      <c r="D537" s="172"/>
      <c r="F537" s="172"/>
      <c r="G537" s="172">
        <v>255.5</v>
      </c>
      <c r="H537" s="172"/>
      <c r="I537" s="173"/>
      <c r="J537" s="172"/>
      <c r="K537" s="172">
        <v>255.5</v>
      </c>
      <c r="M537" s="170"/>
    </row>
    <row r="538" spans="1:13" x14ac:dyDescent="0.4">
      <c r="A538" s="172">
        <v>256</v>
      </c>
      <c r="B538" s="172">
        <f t="shared" ref="B538:B601" si="42">A538-0.1</f>
        <v>255.9</v>
      </c>
      <c r="C538" s="172"/>
      <c r="D538" s="172"/>
      <c r="F538" s="172"/>
      <c r="G538" s="172">
        <v>256</v>
      </c>
      <c r="H538" s="172"/>
      <c r="I538" s="173"/>
      <c r="J538" s="172"/>
      <c r="K538" s="172">
        <v>256</v>
      </c>
      <c r="M538" s="170"/>
    </row>
    <row r="539" spans="1:13" x14ac:dyDescent="0.4">
      <c r="A539" s="172">
        <v>256.5</v>
      </c>
      <c r="B539" s="172">
        <f t="shared" si="42"/>
        <v>256.39999999999998</v>
      </c>
      <c r="C539" s="172"/>
      <c r="D539" s="172"/>
      <c r="F539" s="172"/>
      <c r="G539" s="172">
        <v>256.5</v>
      </c>
      <c r="H539" s="172"/>
      <c r="I539" s="173"/>
      <c r="J539" s="172"/>
      <c r="K539" s="172">
        <v>256.5</v>
      </c>
      <c r="M539" s="170"/>
    </row>
    <row r="540" spans="1:13" x14ac:dyDescent="0.4">
      <c r="A540" s="172">
        <v>257</v>
      </c>
      <c r="B540" s="172">
        <f t="shared" si="42"/>
        <v>256.89999999999998</v>
      </c>
      <c r="C540" s="172"/>
      <c r="D540" s="172"/>
      <c r="F540" s="172"/>
      <c r="G540" s="172">
        <v>257</v>
      </c>
      <c r="H540" s="172"/>
      <c r="I540" s="173"/>
      <c r="J540" s="172"/>
      <c r="K540" s="172">
        <v>257</v>
      </c>
      <c r="M540" s="170"/>
    </row>
    <row r="541" spans="1:13" x14ac:dyDescent="0.4">
      <c r="A541" s="172">
        <v>257.5</v>
      </c>
      <c r="B541" s="172">
        <f t="shared" si="42"/>
        <v>257.39999999999998</v>
      </c>
      <c r="C541" s="172"/>
      <c r="D541" s="172"/>
      <c r="F541" s="172"/>
      <c r="G541" s="172">
        <v>257.5</v>
      </c>
      <c r="H541" s="172"/>
      <c r="I541" s="173"/>
      <c r="J541" s="172"/>
      <c r="K541" s="172">
        <v>257.5</v>
      </c>
      <c r="M541" s="170"/>
    </row>
    <row r="542" spans="1:13" x14ac:dyDescent="0.4">
      <c r="A542" s="172">
        <v>258</v>
      </c>
      <c r="B542" s="172">
        <f t="shared" si="42"/>
        <v>257.89999999999998</v>
      </c>
      <c r="C542" s="172"/>
      <c r="D542" s="172"/>
      <c r="F542" s="172"/>
      <c r="G542" s="172">
        <v>258</v>
      </c>
      <c r="H542" s="172"/>
      <c r="I542" s="173"/>
      <c r="J542" s="172"/>
      <c r="K542" s="172">
        <v>258</v>
      </c>
      <c r="M542" s="170"/>
    </row>
    <row r="543" spans="1:13" x14ac:dyDescent="0.4">
      <c r="A543" s="172">
        <v>258.5</v>
      </c>
      <c r="B543" s="172">
        <f t="shared" si="42"/>
        <v>258.39999999999998</v>
      </c>
      <c r="C543" s="172"/>
      <c r="D543" s="172"/>
      <c r="F543" s="172"/>
      <c r="G543" s="172">
        <v>258.5</v>
      </c>
      <c r="H543" s="172"/>
      <c r="I543" s="173"/>
      <c r="J543" s="172"/>
      <c r="K543" s="172">
        <v>258.5</v>
      </c>
      <c r="M543" s="170"/>
    </row>
    <row r="544" spans="1:13" x14ac:dyDescent="0.4">
      <c r="A544" s="172">
        <v>259</v>
      </c>
      <c r="B544" s="172">
        <f t="shared" si="42"/>
        <v>258.89999999999998</v>
      </c>
      <c r="C544" s="172"/>
      <c r="D544" s="172"/>
      <c r="F544" s="172"/>
      <c r="G544" s="172">
        <v>259</v>
      </c>
      <c r="H544" s="172"/>
      <c r="I544" s="173"/>
      <c r="J544" s="172"/>
      <c r="K544" s="172">
        <v>259</v>
      </c>
      <c r="M544" s="170"/>
    </row>
    <row r="545" spans="1:13" x14ac:dyDescent="0.4">
      <c r="A545" s="172">
        <v>259.5</v>
      </c>
      <c r="B545" s="172">
        <f t="shared" si="42"/>
        <v>259.39999999999998</v>
      </c>
      <c r="C545" s="172"/>
      <c r="D545" s="172"/>
      <c r="F545" s="172"/>
      <c r="G545" s="172">
        <v>259.5</v>
      </c>
      <c r="H545" s="172"/>
      <c r="I545" s="173"/>
      <c r="J545" s="172"/>
      <c r="K545" s="172">
        <v>259.5</v>
      </c>
      <c r="M545" s="170"/>
    </row>
    <row r="546" spans="1:13" x14ac:dyDescent="0.4">
      <c r="A546" s="172">
        <v>260</v>
      </c>
      <c r="B546" s="172">
        <f t="shared" si="42"/>
        <v>259.89999999999998</v>
      </c>
      <c r="C546" s="172">
        <v>4691260</v>
      </c>
      <c r="D546" s="172"/>
      <c r="E546" s="166">
        <f>I546*1000</f>
        <v>2911816.5517241382</v>
      </c>
      <c r="F546" s="172"/>
      <c r="G546" s="172">
        <v>260</v>
      </c>
      <c r="H546" s="172"/>
      <c r="I546" s="173">
        <f>(18/29)*(C546)/1000</f>
        <v>2911.8165517241382</v>
      </c>
      <c r="J546" s="174">
        <f>((22.41/273)*(A546+273))*((1/29)+((1/18)*I546))</f>
        <v>7079.3028088669962</v>
      </c>
      <c r="K546" s="172">
        <v>260</v>
      </c>
      <c r="M546" s="170"/>
    </row>
    <row r="547" spans="1:13" x14ac:dyDescent="0.4">
      <c r="A547" s="172">
        <v>260.5</v>
      </c>
      <c r="B547" s="172">
        <f t="shared" si="42"/>
        <v>260.39999999999998</v>
      </c>
      <c r="C547" s="172"/>
      <c r="D547" s="172"/>
      <c r="F547" s="172"/>
      <c r="G547" s="172">
        <v>260.5</v>
      </c>
      <c r="H547" s="172"/>
      <c r="I547" s="173"/>
      <c r="J547" s="172"/>
      <c r="K547" s="172">
        <v>260.5</v>
      </c>
      <c r="M547" s="170"/>
    </row>
    <row r="548" spans="1:13" x14ac:dyDescent="0.4">
      <c r="A548" s="172">
        <v>261</v>
      </c>
      <c r="B548" s="172">
        <f t="shared" si="42"/>
        <v>260.89999999999998</v>
      </c>
      <c r="C548" s="172"/>
      <c r="D548" s="172"/>
      <c r="F548" s="172"/>
      <c r="G548" s="172">
        <v>261</v>
      </c>
      <c r="H548" s="172"/>
      <c r="I548" s="173"/>
      <c r="J548" s="172"/>
      <c r="K548" s="172">
        <v>261</v>
      </c>
      <c r="M548" s="170"/>
    </row>
    <row r="549" spans="1:13" x14ac:dyDescent="0.4">
      <c r="A549" s="172">
        <v>261.5</v>
      </c>
      <c r="B549" s="172">
        <f t="shared" si="42"/>
        <v>261.39999999999998</v>
      </c>
      <c r="C549" s="172"/>
      <c r="D549" s="172"/>
      <c r="F549" s="172"/>
      <c r="G549" s="172">
        <v>261.5</v>
      </c>
      <c r="H549" s="172"/>
      <c r="I549" s="173"/>
      <c r="J549" s="172"/>
      <c r="K549" s="172">
        <v>261.5</v>
      </c>
      <c r="M549" s="170"/>
    </row>
    <row r="550" spans="1:13" x14ac:dyDescent="0.4">
      <c r="A550" s="172">
        <v>262</v>
      </c>
      <c r="B550" s="172">
        <f t="shared" si="42"/>
        <v>261.89999999999998</v>
      </c>
      <c r="C550" s="172"/>
      <c r="D550" s="172"/>
      <c r="F550" s="172"/>
      <c r="G550" s="172">
        <v>262</v>
      </c>
      <c r="H550" s="172"/>
      <c r="I550" s="173"/>
      <c r="J550" s="172"/>
      <c r="K550" s="172">
        <v>262</v>
      </c>
      <c r="M550" s="170"/>
    </row>
    <row r="551" spans="1:13" x14ac:dyDescent="0.4">
      <c r="A551" s="172">
        <v>262.5</v>
      </c>
      <c r="B551" s="172">
        <f t="shared" si="42"/>
        <v>262.39999999999998</v>
      </c>
      <c r="C551" s="172"/>
      <c r="D551" s="172"/>
      <c r="F551" s="172"/>
      <c r="G551" s="172">
        <v>262.5</v>
      </c>
      <c r="H551" s="172"/>
      <c r="I551" s="173"/>
      <c r="J551" s="172"/>
      <c r="K551" s="172">
        <v>262.5</v>
      </c>
      <c r="M551" s="170"/>
    </row>
    <row r="552" spans="1:13" x14ac:dyDescent="0.4">
      <c r="A552" s="172">
        <v>263</v>
      </c>
      <c r="B552" s="172">
        <f t="shared" si="42"/>
        <v>262.89999999999998</v>
      </c>
      <c r="C552" s="172"/>
      <c r="D552" s="172"/>
      <c r="F552" s="172"/>
      <c r="G552" s="172">
        <v>263</v>
      </c>
      <c r="H552" s="172"/>
      <c r="I552" s="173"/>
      <c r="J552" s="172"/>
      <c r="K552" s="172">
        <v>263</v>
      </c>
      <c r="M552" s="170"/>
    </row>
    <row r="553" spans="1:13" x14ac:dyDescent="0.4">
      <c r="A553" s="172">
        <v>263.5</v>
      </c>
      <c r="B553" s="172">
        <f t="shared" si="42"/>
        <v>263.39999999999998</v>
      </c>
      <c r="C553" s="172"/>
      <c r="D553" s="172"/>
      <c r="F553" s="172"/>
      <c r="G553" s="172">
        <v>263.5</v>
      </c>
      <c r="H553" s="172"/>
      <c r="I553" s="173"/>
      <c r="J553" s="172"/>
      <c r="K553" s="172">
        <v>263.5</v>
      </c>
      <c r="M553" s="170"/>
    </row>
    <row r="554" spans="1:13" x14ac:dyDescent="0.4">
      <c r="A554" s="172">
        <v>264</v>
      </c>
      <c r="B554" s="172">
        <f t="shared" si="42"/>
        <v>263.89999999999998</v>
      </c>
      <c r="C554" s="172"/>
      <c r="D554" s="172"/>
      <c r="F554" s="172"/>
      <c r="G554" s="172">
        <v>264</v>
      </c>
      <c r="H554" s="172"/>
      <c r="I554" s="173"/>
      <c r="J554" s="172"/>
      <c r="K554" s="172">
        <v>264</v>
      </c>
      <c r="M554" s="170"/>
    </row>
    <row r="555" spans="1:13" x14ac:dyDescent="0.4">
      <c r="A555" s="172">
        <v>264.5</v>
      </c>
      <c r="B555" s="172">
        <f t="shared" si="42"/>
        <v>264.39999999999998</v>
      </c>
      <c r="C555" s="172"/>
      <c r="D555" s="172"/>
      <c r="F555" s="172"/>
      <c r="G555" s="172">
        <v>264.5</v>
      </c>
      <c r="H555" s="172"/>
      <c r="I555" s="173"/>
      <c r="J555" s="172"/>
      <c r="K555" s="172">
        <v>264.5</v>
      </c>
      <c r="M555" s="170"/>
    </row>
    <row r="556" spans="1:13" x14ac:dyDescent="0.4">
      <c r="A556" s="172">
        <v>265</v>
      </c>
      <c r="B556" s="172">
        <f t="shared" si="42"/>
        <v>264.89999999999998</v>
      </c>
      <c r="C556" s="172"/>
      <c r="D556" s="172"/>
      <c r="F556" s="172"/>
      <c r="G556" s="172">
        <v>265</v>
      </c>
      <c r="H556" s="172"/>
      <c r="I556" s="173"/>
      <c r="J556" s="172"/>
      <c r="K556" s="172">
        <v>265</v>
      </c>
      <c r="M556" s="170"/>
    </row>
    <row r="557" spans="1:13" x14ac:dyDescent="0.4">
      <c r="A557" s="172">
        <v>265.5</v>
      </c>
      <c r="B557" s="172">
        <f t="shared" si="42"/>
        <v>265.39999999999998</v>
      </c>
      <c r="C557" s="172"/>
      <c r="D557" s="172"/>
      <c r="F557" s="172"/>
      <c r="G557" s="172">
        <v>265.5</v>
      </c>
      <c r="H557" s="172"/>
      <c r="I557" s="173"/>
      <c r="J557" s="172"/>
      <c r="K557" s="172">
        <v>265.5</v>
      </c>
      <c r="M557" s="170"/>
    </row>
    <row r="558" spans="1:13" x14ac:dyDescent="0.4">
      <c r="A558" s="172">
        <v>266</v>
      </c>
      <c r="B558" s="172">
        <f t="shared" si="42"/>
        <v>265.89999999999998</v>
      </c>
      <c r="C558" s="172"/>
      <c r="D558" s="172"/>
      <c r="F558" s="172"/>
      <c r="G558" s="172">
        <v>266</v>
      </c>
      <c r="H558" s="172"/>
      <c r="I558" s="173"/>
      <c r="J558" s="172"/>
      <c r="K558" s="172">
        <v>266</v>
      </c>
      <c r="M558" s="170"/>
    </row>
    <row r="559" spans="1:13" x14ac:dyDescent="0.4">
      <c r="A559" s="172">
        <v>266.5</v>
      </c>
      <c r="B559" s="172">
        <f t="shared" si="42"/>
        <v>266.39999999999998</v>
      </c>
      <c r="C559" s="172"/>
      <c r="D559" s="172"/>
      <c r="F559" s="172"/>
      <c r="G559" s="172">
        <v>266.5</v>
      </c>
      <c r="H559" s="172"/>
      <c r="I559" s="173"/>
      <c r="J559" s="172"/>
      <c r="K559" s="172">
        <v>266.5</v>
      </c>
      <c r="M559" s="170"/>
    </row>
    <row r="560" spans="1:13" x14ac:dyDescent="0.4">
      <c r="A560" s="172">
        <v>267</v>
      </c>
      <c r="B560" s="172">
        <f t="shared" si="42"/>
        <v>266.89999999999998</v>
      </c>
      <c r="C560" s="172"/>
      <c r="D560" s="172"/>
      <c r="F560" s="172"/>
      <c r="G560" s="172">
        <v>267</v>
      </c>
      <c r="H560" s="172"/>
      <c r="I560" s="173"/>
      <c r="J560" s="172"/>
      <c r="K560" s="172">
        <v>267</v>
      </c>
      <c r="M560" s="170"/>
    </row>
    <row r="561" spans="1:13" x14ac:dyDescent="0.4">
      <c r="A561" s="172">
        <v>267.5</v>
      </c>
      <c r="B561" s="172">
        <f t="shared" si="42"/>
        <v>267.39999999999998</v>
      </c>
      <c r="C561" s="172"/>
      <c r="D561" s="172"/>
      <c r="F561" s="172"/>
      <c r="G561" s="172">
        <v>267.5</v>
      </c>
      <c r="H561" s="172"/>
      <c r="I561" s="173"/>
      <c r="J561" s="172"/>
      <c r="K561" s="172">
        <v>267.5</v>
      </c>
      <c r="M561" s="170"/>
    </row>
    <row r="562" spans="1:13" x14ac:dyDescent="0.4">
      <c r="A562" s="172">
        <v>268</v>
      </c>
      <c r="B562" s="172">
        <f t="shared" si="42"/>
        <v>267.89999999999998</v>
      </c>
      <c r="C562" s="172"/>
      <c r="D562" s="172"/>
      <c r="F562" s="172"/>
      <c r="G562" s="172">
        <v>268</v>
      </c>
      <c r="H562" s="172"/>
      <c r="I562" s="173"/>
      <c r="J562" s="172"/>
      <c r="K562" s="172">
        <v>268</v>
      </c>
      <c r="M562" s="170"/>
    </row>
    <row r="563" spans="1:13" x14ac:dyDescent="0.4">
      <c r="A563" s="172">
        <v>268.5</v>
      </c>
      <c r="B563" s="172">
        <f t="shared" si="42"/>
        <v>268.39999999999998</v>
      </c>
      <c r="C563" s="172"/>
      <c r="D563" s="172"/>
      <c r="F563" s="172"/>
      <c r="G563" s="172">
        <v>268.5</v>
      </c>
      <c r="H563" s="172"/>
      <c r="I563" s="173"/>
      <c r="J563" s="172"/>
      <c r="K563" s="172">
        <v>268.5</v>
      </c>
      <c r="M563" s="170"/>
    </row>
    <row r="564" spans="1:13" x14ac:dyDescent="0.4">
      <c r="A564" s="172">
        <v>269</v>
      </c>
      <c r="B564" s="172">
        <f t="shared" si="42"/>
        <v>268.89999999999998</v>
      </c>
      <c r="C564" s="172"/>
      <c r="D564" s="172"/>
      <c r="F564" s="172"/>
      <c r="G564" s="172">
        <v>269</v>
      </c>
      <c r="H564" s="172"/>
      <c r="I564" s="173"/>
      <c r="J564" s="172"/>
      <c r="K564" s="172">
        <v>269</v>
      </c>
      <c r="M564" s="170"/>
    </row>
    <row r="565" spans="1:13" x14ac:dyDescent="0.4">
      <c r="A565" s="172">
        <v>269.5</v>
      </c>
      <c r="B565" s="172">
        <f t="shared" si="42"/>
        <v>269.39999999999998</v>
      </c>
      <c r="C565" s="172"/>
      <c r="D565" s="172"/>
      <c r="F565" s="172"/>
      <c r="G565" s="172">
        <v>269.5</v>
      </c>
      <c r="H565" s="172"/>
      <c r="I565" s="173"/>
      <c r="J565" s="172"/>
      <c r="K565" s="172">
        <v>269.5</v>
      </c>
      <c r="M565" s="170"/>
    </row>
    <row r="566" spans="1:13" x14ac:dyDescent="0.4">
      <c r="A566" s="172">
        <v>270</v>
      </c>
      <c r="B566" s="172">
        <f t="shared" si="42"/>
        <v>269.89999999999998</v>
      </c>
      <c r="C566" s="172"/>
      <c r="D566" s="172"/>
      <c r="F566" s="172"/>
      <c r="G566" s="172">
        <v>270</v>
      </c>
      <c r="H566" s="172"/>
      <c r="I566" s="173"/>
      <c r="J566" s="172"/>
      <c r="K566" s="172">
        <v>270</v>
      </c>
      <c r="M566" s="170"/>
    </row>
    <row r="567" spans="1:13" x14ac:dyDescent="0.4">
      <c r="A567" s="172">
        <v>270.5</v>
      </c>
      <c r="B567" s="172">
        <f t="shared" si="42"/>
        <v>270.39999999999998</v>
      </c>
      <c r="C567" s="172"/>
      <c r="D567" s="172"/>
      <c r="F567" s="172"/>
      <c r="G567" s="172">
        <v>270.5</v>
      </c>
      <c r="H567" s="172"/>
      <c r="I567" s="173"/>
      <c r="J567" s="172"/>
      <c r="K567" s="172">
        <v>270.5</v>
      </c>
      <c r="M567" s="170"/>
    </row>
    <row r="568" spans="1:13" x14ac:dyDescent="0.4">
      <c r="A568" s="172">
        <v>271</v>
      </c>
      <c r="B568" s="172">
        <f t="shared" si="42"/>
        <v>270.89999999999998</v>
      </c>
      <c r="C568" s="172"/>
      <c r="D568" s="172"/>
      <c r="F568" s="172"/>
      <c r="G568" s="172">
        <v>271</v>
      </c>
      <c r="H568" s="172"/>
      <c r="I568" s="173"/>
      <c r="J568" s="172"/>
      <c r="K568" s="172">
        <v>271</v>
      </c>
      <c r="M568" s="170"/>
    </row>
    <row r="569" spans="1:13" x14ac:dyDescent="0.4">
      <c r="A569" s="172">
        <v>271.5</v>
      </c>
      <c r="B569" s="172">
        <f t="shared" si="42"/>
        <v>271.39999999999998</v>
      </c>
      <c r="C569" s="172"/>
      <c r="D569" s="172"/>
      <c r="F569" s="172"/>
      <c r="G569" s="172">
        <v>271.5</v>
      </c>
      <c r="H569" s="172"/>
      <c r="I569" s="173"/>
      <c r="J569" s="172"/>
      <c r="K569" s="172">
        <v>271.5</v>
      </c>
      <c r="M569" s="170"/>
    </row>
    <row r="570" spans="1:13" x14ac:dyDescent="0.4">
      <c r="A570" s="172">
        <v>272</v>
      </c>
      <c r="B570" s="172">
        <f t="shared" si="42"/>
        <v>271.89999999999998</v>
      </c>
      <c r="C570" s="172"/>
      <c r="D570" s="172"/>
      <c r="F570" s="172"/>
      <c r="G570" s="172">
        <v>272</v>
      </c>
      <c r="H570" s="172"/>
      <c r="I570" s="173"/>
      <c r="J570" s="172"/>
      <c r="K570" s="172">
        <v>272</v>
      </c>
      <c r="M570" s="170"/>
    </row>
    <row r="571" spans="1:13" x14ac:dyDescent="0.4">
      <c r="A571" s="172">
        <v>272.5</v>
      </c>
      <c r="B571" s="172">
        <f t="shared" si="42"/>
        <v>272.39999999999998</v>
      </c>
      <c r="C571" s="172"/>
      <c r="D571" s="172"/>
      <c r="F571" s="172"/>
      <c r="G571" s="172">
        <v>272.5</v>
      </c>
      <c r="H571" s="172"/>
      <c r="I571" s="173"/>
      <c r="J571" s="172"/>
      <c r="K571" s="172">
        <v>272.5</v>
      </c>
      <c r="M571" s="170"/>
    </row>
    <row r="572" spans="1:13" x14ac:dyDescent="0.4">
      <c r="A572" s="172">
        <v>273</v>
      </c>
      <c r="B572" s="172">
        <f t="shared" si="42"/>
        <v>272.89999999999998</v>
      </c>
      <c r="C572" s="172"/>
      <c r="D572" s="172"/>
      <c r="F572" s="172"/>
      <c r="G572" s="172">
        <v>273</v>
      </c>
      <c r="H572" s="172"/>
      <c r="I572" s="173"/>
      <c r="J572" s="172"/>
      <c r="K572" s="172">
        <v>273</v>
      </c>
      <c r="M572" s="170"/>
    </row>
    <row r="573" spans="1:13" x14ac:dyDescent="0.4">
      <c r="A573" s="172">
        <v>273.5</v>
      </c>
      <c r="B573" s="172">
        <f t="shared" si="42"/>
        <v>273.39999999999998</v>
      </c>
      <c r="C573" s="172"/>
      <c r="D573" s="172"/>
      <c r="F573" s="172"/>
      <c r="G573" s="172">
        <v>273.5</v>
      </c>
      <c r="H573" s="172"/>
      <c r="I573" s="173"/>
      <c r="J573" s="172"/>
      <c r="K573" s="172">
        <v>273.5</v>
      </c>
      <c r="M573" s="170"/>
    </row>
    <row r="574" spans="1:13" x14ac:dyDescent="0.4">
      <c r="A574" s="172">
        <v>274</v>
      </c>
      <c r="B574" s="172">
        <f t="shared" si="42"/>
        <v>273.89999999999998</v>
      </c>
      <c r="C574" s="172"/>
      <c r="D574" s="172"/>
      <c r="F574" s="172"/>
      <c r="G574" s="172">
        <v>274</v>
      </c>
      <c r="H574" s="172"/>
      <c r="I574" s="173"/>
      <c r="J574" s="172"/>
      <c r="K574" s="172">
        <v>274</v>
      </c>
      <c r="M574" s="170"/>
    </row>
    <row r="575" spans="1:13" x14ac:dyDescent="0.4">
      <c r="A575" s="172">
        <v>274.5</v>
      </c>
      <c r="B575" s="172">
        <f t="shared" si="42"/>
        <v>274.39999999999998</v>
      </c>
      <c r="C575" s="172"/>
      <c r="D575" s="172"/>
      <c r="F575" s="172"/>
      <c r="G575" s="172">
        <v>274.5</v>
      </c>
      <c r="H575" s="172"/>
      <c r="I575" s="173"/>
      <c r="J575" s="172"/>
      <c r="K575" s="172">
        <v>274.5</v>
      </c>
      <c r="M575" s="170"/>
    </row>
    <row r="576" spans="1:13" x14ac:dyDescent="0.4">
      <c r="A576" s="172">
        <v>275</v>
      </c>
      <c r="B576" s="172">
        <f t="shared" si="42"/>
        <v>274.89999999999998</v>
      </c>
      <c r="C576" s="172"/>
      <c r="D576" s="172"/>
      <c r="F576" s="172"/>
      <c r="G576" s="172">
        <v>275</v>
      </c>
      <c r="H576" s="172"/>
      <c r="I576" s="173"/>
      <c r="J576" s="172"/>
      <c r="K576" s="172">
        <v>275</v>
      </c>
      <c r="M576" s="170"/>
    </row>
    <row r="577" spans="1:13" x14ac:dyDescent="0.4">
      <c r="A577" s="172">
        <v>275.5</v>
      </c>
      <c r="B577" s="172">
        <f t="shared" si="42"/>
        <v>275.39999999999998</v>
      </c>
      <c r="C577" s="172"/>
      <c r="D577" s="172"/>
      <c r="F577" s="172"/>
      <c r="G577" s="172">
        <v>275.5</v>
      </c>
      <c r="H577" s="172"/>
      <c r="I577" s="173"/>
      <c r="J577" s="172"/>
      <c r="K577" s="172">
        <v>275.5</v>
      </c>
      <c r="M577" s="170"/>
    </row>
    <row r="578" spans="1:13" x14ac:dyDescent="0.4">
      <c r="A578" s="172">
        <v>276</v>
      </c>
      <c r="B578" s="172">
        <f t="shared" si="42"/>
        <v>275.89999999999998</v>
      </c>
      <c r="C578" s="172"/>
      <c r="D578" s="172"/>
      <c r="F578" s="172"/>
      <c r="G578" s="172">
        <v>276</v>
      </c>
      <c r="H578" s="172"/>
      <c r="I578" s="173"/>
      <c r="J578" s="172"/>
      <c r="K578" s="172">
        <v>276</v>
      </c>
      <c r="M578" s="170"/>
    </row>
    <row r="579" spans="1:13" x14ac:dyDescent="0.4">
      <c r="A579" s="172">
        <v>276.5</v>
      </c>
      <c r="B579" s="172">
        <f t="shared" si="42"/>
        <v>276.39999999999998</v>
      </c>
      <c r="C579" s="172"/>
      <c r="D579" s="172"/>
      <c r="F579" s="172"/>
      <c r="G579" s="172">
        <v>276.5</v>
      </c>
      <c r="H579" s="172"/>
      <c r="I579" s="173"/>
      <c r="J579" s="172"/>
      <c r="K579" s="172">
        <v>276.5</v>
      </c>
      <c r="M579" s="170"/>
    </row>
    <row r="580" spans="1:13" x14ac:dyDescent="0.4">
      <c r="A580" s="172">
        <v>277</v>
      </c>
      <c r="B580" s="172">
        <f t="shared" si="42"/>
        <v>276.89999999999998</v>
      </c>
      <c r="C580" s="172"/>
      <c r="D580" s="172"/>
      <c r="F580" s="172"/>
      <c r="G580" s="172">
        <v>277</v>
      </c>
      <c r="H580" s="172"/>
      <c r="I580" s="173"/>
      <c r="J580" s="172"/>
      <c r="K580" s="172">
        <v>277</v>
      </c>
      <c r="M580" s="170"/>
    </row>
    <row r="581" spans="1:13" x14ac:dyDescent="0.4">
      <c r="A581" s="172">
        <v>277.5</v>
      </c>
      <c r="B581" s="172">
        <f t="shared" si="42"/>
        <v>277.39999999999998</v>
      </c>
      <c r="C581" s="172"/>
      <c r="D581" s="172"/>
      <c r="F581" s="172"/>
      <c r="G581" s="172">
        <v>277.5</v>
      </c>
      <c r="H581" s="172"/>
      <c r="I581" s="173"/>
      <c r="J581" s="172"/>
      <c r="K581" s="172">
        <v>277.5</v>
      </c>
      <c r="M581" s="170"/>
    </row>
    <row r="582" spans="1:13" x14ac:dyDescent="0.4">
      <c r="A582" s="172">
        <v>278</v>
      </c>
      <c r="B582" s="172">
        <f t="shared" si="42"/>
        <v>277.89999999999998</v>
      </c>
      <c r="C582" s="172"/>
      <c r="D582" s="172"/>
      <c r="F582" s="172"/>
      <c r="G582" s="172">
        <v>278</v>
      </c>
      <c r="H582" s="172"/>
      <c r="I582" s="173"/>
      <c r="J582" s="172"/>
      <c r="K582" s="172">
        <v>278</v>
      </c>
      <c r="M582" s="170"/>
    </row>
    <row r="583" spans="1:13" x14ac:dyDescent="0.4">
      <c r="A583" s="172">
        <v>278.5</v>
      </c>
      <c r="B583" s="172">
        <f t="shared" si="42"/>
        <v>278.39999999999998</v>
      </c>
      <c r="C583" s="172"/>
      <c r="D583" s="172"/>
      <c r="F583" s="172"/>
      <c r="G583" s="172">
        <v>278.5</v>
      </c>
      <c r="H583" s="172"/>
      <c r="I583" s="173"/>
      <c r="J583" s="172"/>
      <c r="K583" s="172">
        <v>278.5</v>
      </c>
      <c r="M583" s="170"/>
    </row>
    <row r="584" spans="1:13" x14ac:dyDescent="0.4">
      <c r="A584" s="172">
        <v>279</v>
      </c>
      <c r="B584" s="172">
        <f t="shared" si="42"/>
        <v>278.89999999999998</v>
      </c>
      <c r="C584" s="172"/>
      <c r="D584" s="172"/>
      <c r="F584" s="172"/>
      <c r="G584" s="172">
        <v>279</v>
      </c>
      <c r="H584" s="172"/>
      <c r="I584" s="173"/>
      <c r="J584" s="172"/>
      <c r="K584" s="172">
        <v>279</v>
      </c>
      <c r="M584" s="170"/>
    </row>
    <row r="585" spans="1:13" x14ac:dyDescent="0.4">
      <c r="A585" s="172">
        <v>279.5</v>
      </c>
      <c r="B585" s="172">
        <f t="shared" si="42"/>
        <v>279.39999999999998</v>
      </c>
      <c r="C585" s="172"/>
      <c r="D585" s="172"/>
      <c r="F585" s="172"/>
      <c r="G585" s="172">
        <v>279.5</v>
      </c>
      <c r="H585" s="172"/>
      <c r="I585" s="173"/>
      <c r="J585" s="172"/>
      <c r="K585" s="172">
        <v>279.5</v>
      </c>
      <c r="M585" s="170"/>
    </row>
    <row r="586" spans="1:13" x14ac:dyDescent="0.4">
      <c r="A586" s="172">
        <v>280</v>
      </c>
      <c r="B586" s="172">
        <f t="shared" si="42"/>
        <v>279.89999999999998</v>
      </c>
      <c r="C586" s="172">
        <v>6413250</v>
      </c>
      <c r="D586" s="172"/>
      <c r="E586" s="166">
        <f>I586*1000</f>
        <v>3980637.931034483</v>
      </c>
      <c r="F586" s="172"/>
      <c r="G586" s="172">
        <v>280</v>
      </c>
      <c r="H586" s="172"/>
      <c r="I586" s="173">
        <f>(18/29)*(C586)/1000</f>
        <v>3980.6379310344828</v>
      </c>
      <c r="J586" s="174">
        <f>((22.41/273)*(A586+273))*((1/29)+((1/18)*I586))</f>
        <v>10040.42799071618</v>
      </c>
      <c r="K586" s="172">
        <v>280</v>
      </c>
      <c r="M586" s="170"/>
    </row>
    <row r="587" spans="1:13" x14ac:dyDescent="0.4">
      <c r="A587" s="172">
        <v>280.5</v>
      </c>
      <c r="B587" s="172">
        <f t="shared" si="42"/>
        <v>280.39999999999998</v>
      </c>
      <c r="C587" s="172"/>
      <c r="D587" s="172"/>
      <c r="F587" s="172"/>
      <c r="G587" s="172">
        <v>280.5</v>
      </c>
      <c r="H587" s="172"/>
      <c r="I587" s="173"/>
      <c r="J587" s="172"/>
      <c r="K587" s="172">
        <v>280.5</v>
      </c>
      <c r="M587" s="170"/>
    </row>
    <row r="588" spans="1:13" x14ac:dyDescent="0.4">
      <c r="A588" s="172">
        <v>281</v>
      </c>
      <c r="B588" s="172">
        <f t="shared" si="42"/>
        <v>280.89999999999998</v>
      </c>
      <c r="C588" s="172"/>
      <c r="D588" s="172"/>
      <c r="F588" s="172"/>
      <c r="G588" s="172">
        <v>281</v>
      </c>
      <c r="H588" s="172"/>
      <c r="I588" s="173"/>
      <c r="J588" s="172"/>
      <c r="K588" s="172">
        <v>281</v>
      </c>
      <c r="M588" s="170"/>
    </row>
    <row r="589" spans="1:13" x14ac:dyDescent="0.4">
      <c r="A589" s="172">
        <v>281.5</v>
      </c>
      <c r="B589" s="172">
        <f t="shared" si="42"/>
        <v>281.39999999999998</v>
      </c>
      <c r="C589" s="172"/>
      <c r="D589" s="172"/>
      <c r="F589" s="172"/>
      <c r="G589" s="172">
        <v>281.5</v>
      </c>
      <c r="H589" s="172"/>
      <c r="I589" s="173"/>
      <c r="J589" s="172"/>
      <c r="K589" s="172">
        <v>281.5</v>
      </c>
      <c r="M589" s="170"/>
    </row>
    <row r="590" spans="1:13" x14ac:dyDescent="0.4">
      <c r="A590" s="172">
        <v>282</v>
      </c>
      <c r="B590" s="172">
        <f t="shared" si="42"/>
        <v>281.89999999999998</v>
      </c>
      <c r="C590" s="172"/>
      <c r="D590" s="172"/>
      <c r="F590" s="172"/>
      <c r="G590" s="172">
        <v>282</v>
      </c>
      <c r="H590" s="172"/>
      <c r="I590" s="173"/>
      <c r="J590" s="172"/>
      <c r="K590" s="172">
        <v>282</v>
      </c>
      <c r="M590" s="170"/>
    </row>
    <row r="591" spans="1:13" x14ac:dyDescent="0.4">
      <c r="A591" s="172">
        <v>282.5</v>
      </c>
      <c r="B591" s="172">
        <f t="shared" si="42"/>
        <v>282.39999999999998</v>
      </c>
      <c r="C591" s="172"/>
      <c r="D591" s="172"/>
      <c r="F591" s="172"/>
      <c r="G591" s="172">
        <v>282.5</v>
      </c>
      <c r="H591" s="172"/>
      <c r="I591" s="173"/>
      <c r="J591" s="172"/>
      <c r="K591" s="172">
        <v>282.5</v>
      </c>
      <c r="M591" s="170"/>
    </row>
    <row r="592" spans="1:13" x14ac:dyDescent="0.4">
      <c r="A592" s="172">
        <v>283</v>
      </c>
      <c r="B592" s="172">
        <f t="shared" si="42"/>
        <v>282.89999999999998</v>
      </c>
      <c r="C592" s="172"/>
      <c r="D592" s="172"/>
      <c r="F592" s="172"/>
      <c r="G592" s="172">
        <v>283</v>
      </c>
      <c r="H592" s="172"/>
      <c r="I592" s="173"/>
      <c r="J592" s="172"/>
      <c r="K592" s="172">
        <v>283</v>
      </c>
      <c r="M592" s="170"/>
    </row>
    <row r="593" spans="1:13" x14ac:dyDescent="0.4">
      <c r="A593" s="172">
        <v>283.5</v>
      </c>
      <c r="B593" s="172">
        <f t="shared" si="42"/>
        <v>283.39999999999998</v>
      </c>
      <c r="C593" s="172"/>
      <c r="D593" s="172"/>
      <c r="F593" s="172"/>
      <c r="G593" s="172">
        <v>283.5</v>
      </c>
      <c r="H593" s="172"/>
      <c r="I593" s="173"/>
      <c r="J593" s="172"/>
      <c r="K593" s="172">
        <v>283.5</v>
      </c>
      <c r="M593" s="170"/>
    </row>
    <row r="594" spans="1:13" x14ac:dyDescent="0.4">
      <c r="A594" s="172">
        <v>284</v>
      </c>
      <c r="B594" s="172">
        <f t="shared" si="42"/>
        <v>283.89999999999998</v>
      </c>
      <c r="C594" s="172"/>
      <c r="D594" s="172"/>
      <c r="F594" s="172"/>
      <c r="G594" s="172">
        <v>284</v>
      </c>
      <c r="H594" s="172"/>
      <c r="I594" s="173"/>
      <c r="J594" s="172"/>
      <c r="K594" s="172">
        <v>284</v>
      </c>
      <c r="M594" s="170"/>
    </row>
    <row r="595" spans="1:13" x14ac:dyDescent="0.4">
      <c r="A595" s="172">
        <v>284.5</v>
      </c>
      <c r="B595" s="172">
        <f t="shared" si="42"/>
        <v>284.39999999999998</v>
      </c>
      <c r="C595" s="172"/>
      <c r="D595" s="172"/>
      <c r="F595" s="172"/>
      <c r="G595" s="172">
        <v>284.5</v>
      </c>
      <c r="H595" s="172"/>
      <c r="I595" s="173"/>
      <c r="J595" s="172"/>
      <c r="K595" s="172">
        <v>284.5</v>
      </c>
      <c r="M595" s="170"/>
    </row>
    <row r="596" spans="1:13" x14ac:dyDescent="0.4">
      <c r="A596" s="172">
        <v>285</v>
      </c>
      <c r="B596" s="172">
        <f t="shared" si="42"/>
        <v>284.89999999999998</v>
      </c>
      <c r="C596" s="172"/>
      <c r="D596" s="172"/>
      <c r="F596" s="172"/>
      <c r="G596" s="172">
        <v>285</v>
      </c>
      <c r="H596" s="172"/>
      <c r="I596" s="173"/>
      <c r="J596" s="172"/>
      <c r="K596" s="172">
        <v>285</v>
      </c>
      <c r="M596" s="170"/>
    </row>
    <row r="597" spans="1:13" x14ac:dyDescent="0.4">
      <c r="A597" s="172">
        <v>285.5</v>
      </c>
      <c r="B597" s="172">
        <f t="shared" si="42"/>
        <v>285.39999999999998</v>
      </c>
      <c r="C597" s="172"/>
      <c r="D597" s="172"/>
      <c r="F597" s="172"/>
      <c r="G597" s="172">
        <v>285.5</v>
      </c>
      <c r="H597" s="172"/>
      <c r="I597" s="173"/>
      <c r="J597" s="172"/>
      <c r="K597" s="172">
        <v>285.5</v>
      </c>
      <c r="M597" s="170"/>
    </row>
    <row r="598" spans="1:13" x14ac:dyDescent="0.4">
      <c r="A598" s="172">
        <v>286</v>
      </c>
      <c r="B598" s="172">
        <f t="shared" si="42"/>
        <v>285.89999999999998</v>
      </c>
      <c r="C598" s="172"/>
      <c r="D598" s="172"/>
      <c r="F598" s="172"/>
      <c r="G598" s="172">
        <v>286</v>
      </c>
      <c r="H598" s="172"/>
      <c r="I598" s="173"/>
      <c r="J598" s="172"/>
      <c r="K598" s="172">
        <v>286</v>
      </c>
      <c r="M598" s="170"/>
    </row>
    <row r="599" spans="1:13" x14ac:dyDescent="0.4">
      <c r="A599" s="172">
        <v>286.5</v>
      </c>
      <c r="B599" s="172">
        <f t="shared" si="42"/>
        <v>286.39999999999998</v>
      </c>
      <c r="C599" s="172"/>
      <c r="D599" s="172"/>
      <c r="F599" s="172"/>
      <c r="G599" s="172">
        <v>286.5</v>
      </c>
      <c r="H599" s="172"/>
      <c r="I599" s="173"/>
      <c r="J599" s="172"/>
      <c r="K599" s="172">
        <v>286.5</v>
      </c>
      <c r="M599" s="170"/>
    </row>
    <row r="600" spans="1:13" x14ac:dyDescent="0.4">
      <c r="A600" s="172">
        <v>287</v>
      </c>
      <c r="B600" s="172">
        <f t="shared" si="42"/>
        <v>286.89999999999998</v>
      </c>
      <c r="C600" s="172"/>
      <c r="D600" s="172"/>
      <c r="F600" s="172"/>
      <c r="G600" s="172">
        <v>287</v>
      </c>
      <c r="H600" s="172"/>
      <c r="I600" s="173"/>
      <c r="J600" s="172"/>
      <c r="K600" s="172">
        <v>287</v>
      </c>
      <c r="M600" s="170"/>
    </row>
    <row r="601" spans="1:13" x14ac:dyDescent="0.4">
      <c r="A601" s="172">
        <v>287.5</v>
      </c>
      <c r="B601" s="172">
        <f t="shared" si="42"/>
        <v>287.39999999999998</v>
      </c>
      <c r="C601" s="172"/>
      <c r="D601" s="172"/>
      <c r="F601" s="172"/>
      <c r="G601" s="172">
        <v>287.5</v>
      </c>
      <c r="H601" s="172"/>
      <c r="I601" s="173"/>
      <c r="J601" s="172"/>
      <c r="K601" s="172">
        <v>287.5</v>
      </c>
      <c r="M601" s="170"/>
    </row>
    <row r="602" spans="1:13" x14ac:dyDescent="0.4">
      <c r="A602" s="172">
        <v>288</v>
      </c>
      <c r="B602" s="172">
        <f t="shared" ref="B602:B665" si="43">A602-0.1</f>
        <v>287.89999999999998</v>
      </c>
      <c r="C602" s="172"/>
      <c r="D602" s="172"/>
      <c r="F602" s="172"/>
      <c r="G602" s="172">
        <v>288</v>
      </c>
      <c r="H602" s="172"/>
      <c r="I602" s="173"/>
      <c r="J602" s="172"/>
      <c r="K602" s="172">
        <v>288</v>
      </c>
      <c r="M602" s="170"/>
    </row>
    <row r="603" spans="1:13" x14ac:dyDescent="0.4">
      <c r="A603" s="172">
        <v>288.5</v>
      </c>
      <c r="B603" s="172">
        <f t="shared" si="43"/>
        <v>288.39999999999998</v>
      </c>
      <c r="C603" s="172"/>
      <c r="D603" s="172"/>
      <c r="F603" s="172"/>
      <c r="G603" s="172">
        <v>288.5</v>
      </c>
      <c r="H603" s="172"/>
      <c r="I603" s="173"/>
      <c r="J603" s="172"/>
      <c r="K603" s="172">
        <v>288.5</v>
      </c>
      <c r="M603" s="170"/>
    </row>
    <row r="604" spans="1:13" x14ac:dyDescent="0.4">
      <c r="A604" s="172">
        <v>289</v>
      </c>
      <c r="B604" s="172">
        <f t="shared" si="43"/>
        <v>288.89999999999998</v>
      </c>
      <c r="C604" s="172"/>
      <c r="D604" s="172"/>
      <c r="F604" s="172"/>
      <c r="G604" s="172">
        <v>289</v>
      </c>
      <c r="H604" s="172"/>
      <c r="I604" s="173"/>
      <c r="J604" s="172"/>
      <c r="K604" s="172">
        <v>289</v>
      </c>
      <c r="M604" s="170"/>
    </row>
    <row r="605" spans="1:13" x14ac:dyDescent="0.4">
      <c r="A605" s="172">
        <v>289.5</v>
      </c>
      <c r="B605" s="172">
        <f t="shared" si="43"/>
        <v>289.39999999999998</v>
      </c>
      <c r="C605" s="172"/>
      <c r="D605" s="172"/>
      <c r="F605" s="172"/>
      <c r="G605" s="172">
        <v>289.5</v>
      </c>
      <c r="H605" s="172"/>
      <c r="I605" s="173"/>
      <c r="J605" s="172"/>
      <c r="K605" s="172">
        <v>289.5</v>
      </c>
      <c r="M605" s="170"/>
    </row>
    <row r="606" spans="1:13" x14ac:dyDescent="0.4">
      <c r="A606" s="172">
        <v>290</v>
      </c>
      <c r="B606" s="172">
        <f t="shared" si="43"/>
        <v>289.89999999999998</v>
      </c>
      <c r="C606" s="172"/>
      <c r="D606" s="172"/>
      <c r="F606" s="172"/>
      <c r="G606" s="172">
        <v>290</v>
      </c>
      <c r="H606" s="172"/>
      <c r="I606" s="173"/>
      <c r="J606" s="172"/>
      <c r="K606" s="172">
        <v>290</v>
      </c>
      <c r="M606" s="170"/>
    </row>
    <row r="607" spans="1:13" x14ac:dyDescent="0.4">
      <c r="A607" s="172">
        <v>290.5</v>
      </c>
      <c r="B607" s="172">
        <f t="shared" si="43"/>
        <v>290.39999999999998</v>
      </c>
      <c r="C607" s="172"/>
      <c r="D607" s="172"/>
      <c r="F607" s="172"/>
      <c r="G607" s="172">
        <v>290.5</v>
      </c>
      <c r="H607" s="172"/>
      <c r="I607" s="173"/>
      <c r="J607" s="172"/>
      <c r="K607" s="172">
        <v>290.5</v>
      </c>
      <c r="M607" s="170"/>
    </row>
    <row r="608" spans="1:13" x14ac:dyDescent="0.4">
      <c r="A608" s="172">
        <v>291</v>
      </c>
      <c r="B608" s="172">
        <f t="shared" si="43"/>
        <v>290.89999999999998</v>
      </c>
      <c r="C608" s="172"/>
      <c r="D608" s="172"/>
      <c r="F608" s="172"/>
      <c r="G608" s="172">
        <v>291</v>
      </c>
      <c r="H608" s="172"/>
      <c r="I608" s="173"/>
      <c r="J608" s="172"/>
      <c r="K608" s="172">
        <v>291</v>
      </c>
      <c r="M608" s="170"/>
    </row>
    <row r="609" spans="1:13" x14ac:dyDescent="0.4">
      <c r="A609" s="172">
        <v>291.5</v>
      </c>
      <c r="B609" s="172">
        <f t="shared" si="43"/>
        <v>291.39999999999998</v>
      </c>
      <c r="C609" s="172"/>
      <c r="D609" s="172"/>
      <c r="F609" s="172"/>
      <c r="G609" s="172">
        <v>291.5</v>
      </c>
      <c r="H609" s="172"/>
      <c r="I609" s="173"/>
      <c r="J609" s="172"/>
      <c r="K609" s="172">
        <v>291.5</v>
      </c>
      <c r="M609" s="170"/>
    </row>
    <row r="610" spans="1:13" x14ac:dyDescent="0.4">
      <c r="A610" s="172">
        <v>292</v>
      </c>
      <c r="B610" s="172">
        <f t="shared" si="43"/>
        <v>291.89999999999998</v>
      </c>
      <c r="C610" s="172"/>
      <c r="D610" s="172"/>
      <c r="F610" s="172"/>
      <c r="G610" s="172">
        <v>292</v>
      </c>
      <c r="H610" s="172"/>
      <c r="I610" s="173"/>
      <c r="J610" s="172"/>
      <c r="K610" s="172">
        <v>292</v>
      </c>
      <c r="M610" s="170"/>
    </row>
    <row r="611" spans="1:13" x14ac:dyDescent="0.4">
      <c r="A611" s="172">
        <v>292.5</v>
      </c>
      <c r="B611" s="172">
        <f t="shared" si="43"/>
        <v>292.39999999999998</v>
      </c>
      <c r="C611" s="172"/>
      <c r="D611" s="172"/>
      <c r="F611" s="172"/>
      <c r="G611" s="172">
        <v>292.5</v>
      </c>
      <c r="H611" s="172"/>
      <c r="I611" s="173"/>
      <c r="J611" s="172"/>
      <c r="K611" s="172">
        <v>292.5</v>
      </c>
      <c r="M611" s="170"/>
    </row>
    <row r="612" spans="1:13" x14ac:dyDescent="0.4">
      <c r="A612" s="172">
        <v>293</v>
      </c>
      <c r="B612" s="172">
        <f t="shared" si="43"/>
        <v>292.89999999999998</v>
      </c>
      <c r="C612" s="172"/>
      <c r="D612" s="172"/>
      <c r="F612" s="172"/>
      <c r="G612" s="172">
        <v>293</v>
      </c>
      <c r="H612" s="172"/>
      <c r="I612" s="173"/>
      <c r="J612" s="172"/>
      <c r="K612" s="172">
        <v>293</v>
      </c>
      <c r="M612" s="170"/>
    </row>
    <row r="613" spans="1:13" x14ac:dyDescent="0.4">
      <c r="A613" s="172">
        <v>293.5</v>
      </c>
      <c r="B613" s="172">
        <f t="shared" si="43"/>
        <v>293.39999999999998</v>
      </c>
      <c r="C613" s="172"/>
      <c r="D613" s="172"/>
      <c r="F613" s="172"/>
      <c r="G613" s="172">
        <v>293.5</v>
      </c>
      <c r="H613" s="172"/>
      <c r="I613" s="173"/>
      <c r="J613" s="172"/>
      <c r="K613" s="172">
        <v>293.5</v>
      </c>
      <c r="M613" s="170"/>
    </row>
    <row r="614" spans="1:13" x14ac:dyDescent="0.4">
      <c r="A614" s="172">
        <v>294</v>
      </c>
      <c r="B614" s="172">
        <f t="shared" si="43"/>
        <v>293.89999999999998</v>
      </c>
      <c r="C614" s="172"/>
      <c r="D614" s="172"/>
      <c r="F614" s="172"/>
      <c r="G614" s="172">
        <v>294</v>
      </c>
      <c r="H614" s="172"/>
      <c r="I614" s="173"/>
      <c r="J614" s="172"/>
      <c r="K614" s="172">
        <v>294</v>
      </c>
      <c r="M614" s="170"/>
    </row>
    <row r="615" spans="1:13" x14ac:dyDescent="0.4">
      <c r="A615" s="172">
        <v>294.5</v>
      </c>
      <c r="B615" s="172">
        <f t="shared" si="43"/>
        <v>294.39999999999998</v>
      </c>
      <c r="C615" s="172"/>
      <c r="D615" s="172"/>
      <c r="F615" s="172"/>
      <c r="G615" s="172">
        <v>294.5</v>
      </c>
      <c r="H615" s="172"/>
      <c r="I615" s="173"/>
      <c r="J615" s="172"/>
      <c r="K615" s="172">
        <v>294.5</v>
      </c>
      <c r="M615" s="170"/>
    </row>
    <row r="616" spans="1:13" x14ac:dyDescent="0.4">
      <c r="A616" s="172">
        <v>295</v>
      </c>
      <c r="B616" s="172">
        <f t="shared" si="43"/>
        <v>294.89999999999998</v>
      </c>
      <c r="C616" s="172"/>
      <c r="D616" s="172"/>
      <c r="F616" s="172"/>
      <c r="G616" s="172">
        <v>295</v>
      </c>
      <c r="H616" s="172"/>
      <c r="I616" s="173"/>
      <c r="J616" s="172"/>
      <c r="K616" s="172">
        <v>295</v>
      </c>
      <c r="M616" s="170"/>
    </row>
    <row r="617" spans="1:13" x14ac:dyDescent="0.4">
      <c r="A617" s="172">
        <v>295.5</v>
      </c>
      <c r="B617" s="172">
        <f t="shared" si="43"/>
        <v>295.39999999999998</v>
      </c>
      <c r="C617" s="172"/>
      <c r="D617" s="172"/>
      <c r="F617" s="172"/>
      <c r="G617" s="172">
        <v>295.5</v>
      </c>
      <c r="H617" s="172"/>
      <c r="I617" s="173"/>
      <c r="J617" s="172"/>
      <c r="K617" s="172">
        <v>295.5</v>
      </c>
      <c r="M617" s="170"/>
    </row>
    <row r="618" spans="1:13" x14ac:dyDescent="0.4">
      <c r="A618" s="172">
        <v>296</v>
      </c>
      <c r="B618" s="172">
        <f t="shared" si="43"/>
        <v>295.89999999999998</v>
      </c>
      <c r="C618" s="172"/>
      <c r="D618" s="172"/>
      <c r="F618" s="172"/>
      <c r="G618" s="172">
        <v>296</v>
      </c>
      <c r="H618" s="172"/>
      <c r="I618" s="173"/>
      <c r="J618" s="172"/>
      <c r="K618" s="172">
        <v>296</v>
      </c>
      <c r="M618" s="170"/>
    </row>
    <row r="619" spans="1:13" x14ac:dyDescent="0.4">
      <c r="A619" s="172">
        <v>296.5</v>
      </c>
      <c r="B619" s="172">
        <f t="shared" si="43"/>
        <v>296.39999999999998</v>
      </c>
      <c r="C619" s="172"/>
      <c r="D619" s="172"/>
      <c r="F619" s="172"/>
      <c r="G619" s="172">
        <v>296.5</v>
      </c>
      <c r="H619" s="172"/>
      <c r="I619" s="173"/>
      <c r="J619" s="172"/>
      <c r="K619" s="172">
        <v>296.5</v>
      </c>
      <c r="M619" s="170"/>
    </row>
    <row r="620" spans="1:13" x14ac:dyDescent="0.4">
      <c r="A620" s="172">
        <v>297</v>
      </c>
      <c r="B620" s="172">
        <f t="shared" si="43"/>
        <v>296.89999999999998</v>
      </c>
      <c r="C620" s="172"/>
      <c r="D620" s="172"/>
      <c r="F620" s="172"/>
      <c r="G620" s="172">
        <v>297</v>
      </c>
      <c r="H620" s="172"/>
      <c r="I620" s="173"/>
      <c r="J620" s="172"/>
      <c r="K620" s="172">
        <v>297</v>
      </c>
      <c r="M620" s="170"/>
    </row>
    <row r="621" spans="1:13" x14ac:dyDescent="0.4">
      <c r="A621" s="172">
        <v>297.5</v>
      </c>
      <c r="B621" s="172">
        <f t="shared" si="43"/>
        <v>297.39999999999998</v>
      </c>
      <c r="C621" s="172"/>
      <c r="D621" s="172"/>
      <c r="F621" s="172"/>
      <c r="G621" s="172">
        <v>297.5</v>
      </c>
      <c r="H621" s="172"/>
      <c r="I621" s="173"/>
      <c r="J621" s="172"/>
      <c r="K621" s="172">
        <v>297.5</v>
      </c>
      <c r="M621" s="170"/>
    </row>
    <row r="622" spans="1:13" x14ac:dyDescent="0.4">
      <c r="A622" s="172">
        <v>298</v>
      </c>
      <c r="B622" s="172">
        <f t="shared" si="43"/>
        <v>297.89999999999998</v>
      </c>
      <c r="C622" s="172"/>
      <c r="D622" s="172"/>
      <c r="F622" s="172"/>
      <c r="G622" s="172">
        <v>298</v>
      </c>
      <c r="H622" s="172"/>
      <c r="I622" s="173"/>
      <c r="J622" s="172"/>
      <c r="K622" s="172">
        <v>298</v>
      </c>
      <c r="M622" s="170"/>
    </row>
    <row r="623" spans="1:13" x14ac:dyDescent="0.4">
      <c r="A623" s="172">
        <v>298.5</v>
      </c>
      <c r="B623" s="172">
        <f t="shared" si="43"/>
        <v>298.39999999999998</v>
      </c>
      <c r="C623" s="172"/>
      <c r="D623" s="172"/>
      <c r="F623" s="172"/>
      <c r="G623" s="172">
        <v>298.5</v>
      </c>
      <c r="H623" s="172"/>
      <c r="I623" s="173"/>
      <c r="J623" s="172"/>
      <c r="K623" s="172">
        <v>298.5</v>
      </c>
      <c r="M623" s="170"/>
    </row>
    <row r="624" spans="1:13" x14ac:dyDescent="0.4">
      <c r="A624" s="172">
        <v>299</v>
      </c>
      <c r="B624" s="172">
        <f t="shared" si="43"/>
        <v>298.89999999999998</v>
      </c>
      <c r="C624" s="172"/>
      <c r="D624" s="172"/>
      <c r="F624" s="172"/>
      <c r="G624" s="172">
        <v>299</v>
      </c>
      <c r="H624" s="172"/>
      <c r="I624" s="173"/>
      <c r="J624" s="172"/>
      <c r="K624" s="172">
        <v>299</v>
      </c>
      <c r="M624" s="170"/>
    </row>
    <row r="625" spans="1:13" x14ac:dyDescent="0.4">
      <c r="A625" s="172">
        <v>299.5</v>
      </c>
      <c r="B625" s="172">
        <f t="shared" si="43"/>
        <v>299.39999999999998</v>
      </c>
      <c r="C625" s="172"/>
      <c r="D625" s="172"/>
      <c r="F625" s="172"/>
      <c r="G625" s="172">
        <v>299.5</v>
      </c>
      <c r="H625" s="172"/>
      <c r="I625" s="173"/>
      <c r="J625" s="172"/>
      <c r="K625" s="172">
        <v>299.5</v>
      </c>
      <c r="M625" s="170"/>
    </row>
    <row r="626" spans="1:13" x14ac:dyDescent="0.4">
      <c r="A626" s="172">
        <v>300</v>
      </c>
      <c r="B626" s="172">
        <f t="shared" si="43"/>
        <v>299.89999999999998</v>
      </c>
      <c r="C626" s="172">
        <v>8590180</v>
      </c>
      <c r="D626" s="172"/>
      <c r="E626" s="166">
        <f>I626*1000</f>
        <v>5331835.862068966</v>
      </c>
      <c r="F626" s="172"/>
      <c r="G626" s="172">
        <v>300</v>
      </c>
      <c r="H626" s="172"/>
      <c r="I626" s="173">
        <f>(18/29)*(C626)/1000</f>
        <v>5331.835862068966</v>
      </c>
      <c r="J626" s="174">
        <f>((22.41/273)*(A626+273))*((1/29)+((1/18)*I626))</f>
        <v>13934.412150738919</v>
      </c>
      <c r="K626" s="172">
        <v>300</v>
      </c>
      <c r="M626" s="170"/>
    </row>
    <row r="627" spans="1:13" x14ac:dyDescent="0.4">
      <c r="A627" s="172">
        <v>300.5</v>
      </c>
      <c r="B627" s="172">
        <f t="shared" si="43"/>
        <v>300.39999999999998</v>
      </c>
      <c r="C627" s="172"/>
      <c r="D627" s="172"/>
      <c r="F627" s="172"/>
      <c r="G627" s="172">
        <v>300.5</v>
      </c>
      <c r="H627" s="172"/>
      <c r="I627" s="173"/>
      <c r="J627" s="172"/>
      <c r="K627" s="172">
        <v>300.5</v>
      </c>
      <c r="M627" s="170"/>
    </row>
    <row r="628" spans="1:13" x14ac:dyDescent="0.4">
      <c r="A628" s="172">
        <v>301</v>
      </c>
      <c r="B628" s="172">
        <f t="shared" si="43"/>
        <v>300.89999999999998</v>
      </c>
      <c r="C628" s="172"/>
      <c r="D628" s="172"/>
      <c r="F628" s="172"/>
      <c r="G628" s="172">
        <v>301</v>
      </c>
      <c r="H628" s="172"/>
      <c r="I628" s="173"/>
      <c r="J628" s="172"/>
      <c r="K628" s="172">
        <v>301</v>
      </c>
      <c r="M628" s="170"/>
    </row>
    <row r="629" spans="1:13" x14ac:dyDescent="0.4">
      <c r="A629" s="172">
        <v>301.5</v>
      </c>
      <c r="B629" s="172">
        <f t="shared" si="43"/>
        <v>301.39999999999998</v>
      </c>
      <c r="C629" s="172"/>
      <c r="D629" s="172"/>
      <c r="F629" s="172"/>
      <c r="G629" s="172">
        <v>301.5</v>
      </c>
      <c r="H629" s="172"/>
      <c r="I629" s="173"/>
      <c r="J629" s="172"/>
      <c r="K629" s="172">
        <v>301.5</v>
      </c>
      <c r="M629" s="170"/>
    </row>
    <row r="630" spans="1:13" x14ac:dyDescent="0.4">
      <c r="A630" s="172">
        <v>302</v>
      </c>
      <c r="B630" s="172">
        <f t="shared" si="43"/>
        <v>301.89999999999998</v>
      </c>
      <c r="C630" s="172"/>
      <c r="D630" s="172"/>
      <c r="F630" s="172"/>
      <c r="G630" s="172">
        <v>302</v>
      </c>
      <c r="H630" s="172"/>
      <c r="I630" s="173"/>
      <c r="J630" s="172"/>
      <c r="K630" s="172">
        <v>302</v>
      </c>
      <c r="M630" s="170"/>
    </row>
    <row r="631" spans="1:13" x14ac:dyDescent="0.4">
      <c r="A631" s="172">
        <v>302.5</v>
      </c>
      <c r="B631" s="172">
        <f t="shared" si="43"/>
        <v>302.39999999999998</v>
      </c>
      <c r="C631" s="172"/>
      <c r="D631" s="172"/>
      <c r="F631" s="172"/>
      <c r="G631" s="172">
        <v>302.5</v>
      </c>
      <c r="H631" s="172"/>
      <c r="I631" s="173"/>
      <c r="J631" s="172"/>
      <c r="K631" s="172">
        <v>302.5</v>
      </c>
      <c r="M631" s="170"/>
    </row>
    <row r="632" spans="1:13" x14ac:dyDescent="0.4">
      <c r="A632" s="172">
        <v>303</v>
      </c>
      <c r="B632" s="172">
        <f t="shared" si="43"/>
        <v>302.89999999999998</v>
      </c>
      <c r="C632" s="172"/>
      <c r="D632" s="172"/>
      <c r="F632" s="172"/>
      <c r="G632" s="172">
        <v>303</v>
      </c>
      <c r="H632" s="172"/>
      <c r="I632" s="173"/>
      <c r="J632" s="172"/>
      <c r="K632" s="172">
        <v>303</v>
      </c>
      <c r="M632" s="170"/>
    </row>
    <row r="633" spans="1:13" x14ac:dyDescent="0.4">
      <c r="A633" s="172">
        <v>303.5</v>
      </c>
      <c r="B633" s="172">
        <f t="shared" si="43"/>
        <v>303.39999999999998</v>
      </c>
      <c r="C633" s="172"/>
      <c r="D633" s="172"/>
      <c r="F633" s="172"/>
      <c r="G633" s="172">
        <v>303.5</v>
      </c>
      <c r="H633" s="172"/>
      <c r="I633" s="173"/>
      <c r="J633" s="172"/>
      <c r="K633" s="172">
        <v>303.5</v>
      </c>
      <c r="M633" s="170"/>
    </row>
    <row r="634" spans="1:13" x14ac:dyDescent="0.4">
      <c r="A634" s="172">
        <v>304</v>
      </c>
      <c r="B634" s="172">
        <f t="shared" si="43"/>
        <v>303.89999999999998</v>
      </c>
      <c r="C634" s="172"/>
      <c r="D634" s="172"/>
      <c r="F634" s="172"/>
      <c r="G634" s="172">
        <v>304</v>
      </c>
      <c r="H634" s="172"/>
      <c r="I634" s="173"/>
      <c r="J634" s="172"/>
      <c r="K634" s="172">
        <v>304</v>
      </c>
      <c r="M634" s="170"/>
    </row>
    <row r="635" spans="1:13" x14ac:dyDescent="0.4">
      <c r="A635" s="172">
        <v>304.5</v>
      </c>
      <c r="B635" s="172">
        <f t="shared" si="43"/>
        <v>304.39999999999998</v>
      </c>
      <c r="C635" s="172"/>
      <c r="D635" s="172"/>
      <c r="F635" s="172"/>
      <c r="G635" s="172">
        <v>304.5</v>
      </c>
      <c r="H635" s="172"/>
      <c r="I635" s="173"/>
      <c r="J635" s="172"/>
      <c r="K635" s="172">
        <v>304.5</v>
      </c>
      <c r="M635" s="170"/>
    </row>
    <row r="636" spans="1:13" x14ac:dyDescent="0.4">
      <c r="A636" s="172">
        <v>305</v>
      </c>
      <c r="B636" s="172">
        <f t="shared" si="43"/>
        <v>304.89999999999998</v>
      </c>
      <c r="C636" s="172"/>
      <c r="D636" s="172"/>
      <c r="F636" s="172"/>
      <c r="G636" s="172">
        <v>305</v>
      </c>
      <c r="H636" s="172"/>
      <c r="I636" s="173"/>
      <c r="J636" s="172"/>
      <c r="K636" s="172">
        <v>305</v>
      </c>
      <c r="M636" s="170"/>
    </row>
    <row r="637" spans="1:13" x14ac:dyDescent="0.4">
      <c r="A637" s="172">
        <v>305.5</v>
      </c>
      <c r="B637" s="172">
        <f t="shared" si="43"/>
        <v>305.39999999999998</v>
      </c>
      <c r="C637" s="172"/>
      <c r="D637" s="172"/>
      <c r="F637" s="172"/>
      <c r="G637" s="172">
        <v>305.5</v>
      </c>
      <c r="H637" s="172"/>
      <c r="I637" s="173"/>
      <c r="J637" s="172"/>
      <c r="K637" s="172">
        <v>305.5</v>
      </c>
      <c r="M637" s="170"/>
    </row>
    <row r="638" spans="1:13" x14ac:dyDescent="0.4">
      <c r="A638" s="172">
        <v>306</v>
      </c>
      <c r="B638" s="172">
        <f t="shared" si="43"/>
        <v>305.89999999999998</v>
      </c>
      <c r="C638" s="172"/>
      <c r="D638" s="172"/>
      <c r="F638" s="172"/>
      <c r="G638" s="172">
        <v>306</v>
      </c>
      <c r="H638" s="172"/>
      <c r="I638" s="173"/>
      <c r="J638" s="172"/>
      <c r="K638" s="172">
        <v>306</v>
      </c>
      <c r="M638" s="170"/>
    </row>
    <row r="639" spans="1:13" x14ac:dyDescent="0.4">
      <c r="A639" s="172">
        <v>306.5</v>
      </c>
      <c r="B639" s="172">
        <f t="shared" si="43"/>
        <v>306.39999999999998</v>
      </c>
      <c r="C639" s="172"/>
      <c r="D639" s="172"/>
      <c r="F639" s="172"/>
      <c r="G639" s="172">
        <v>306.5</v>
      </c>
      <c r="H639" s="172"/>
      <c r="I639" s="173"/>
      <c r="J639" s="172"/>
      <c r="K639" s="172">
        <v>306.5</v>
      </c>
      <c r="M639" s="170"/>
    </row>
    <row r="640" spans="1:13" x14ac:dyDescent="0.4">
      <c r="A640" s="172">
        <v>307</v>
      </c>
      <c r="B640" s="172">
        <f t="shared" si="43"/>
        <v>306.89999999999998</v>
      </c>
      <c r="C640" s="172"/>
      <c r="D640" s="172"/>
      <c r="F640" s="172"/>
      <c r="G640" s="172">
        <v>307</v>
      </c>
      <c r="H640" s="172"/>
      <c r="I640" s="173"/>
      <c r="J640" s="172"/>
      <c r="K640" s="172">
        <v>307</v>
      </c>
      <c r="M640" s="170"/>
    </row>
    <row r="641" spans="1:13" x14ac:dyDescent="0.4">
      <c r="A641" s="172">
        <v>307.5</v>
      </c>
      <c r="B641" s="172">
        <f t="shared" si="43"/>
        <v>307.39999999999998</v>
      </c>
      <c r="C641" s="172"/>
      <c r="D641" s="172"/>
      <c r="F641" s="172"/>
      <c r="G641" s="172">
        <v>307.5</v>
      </c>
      <c r="H641" s="172"/>
      <c r="I641" s="173"/>
      <c r="J641" s="172"/>
      <c r="K641" s="172">
        <v>307.5</v>
      </c>
      <c r="M641" s="170"/>
    </row>
    <row r="642" spans="1:13" x14ac:dyDescent="0.4">
      <c r="A642" s="172">
        <v>308</v>
      </c>
      <c r="B642" s="172">
        <f t="shared" si="43"/>
        <v>307.89999999999998</v>
      </c>
      <c r="C642" s="172"/>
      <c r="D642" s="172"/>
      <c r="F642" s="172"/>
      <c r="G642" s="172">
        <v>308</v>
      </c>
      <c r="H642" s="172"/>
      <c r="I642" s="173"/>
      <c r="J642" s="172"/>
      <c r="K642" s="172">
        <v>308</v>
      </c>
      <c r="M642" s="170"/>
    </row>
    <row r="643" spans="1:13" x14ac:dyDescent="0.4">
      <c r="A643" s="172">
        <v>308.5</v>
      </c>
      <c r="B643" s="172">
        <f t="shared" si="43"/>
        <v>308.39999999999998</v>
      </c>
      <c r="C643" s="172"/>
      <c r="D643" s="172"/>
      <c r="F643" s="172"/>
      <c r="G643" s="172">
        <v>308.5</v>
      </c>
      <c r="H643" s="172"/>
      <c r="I643" s="173"/>
      <c r="J643" s="172"/>
      <c r="K643" s="172">
        <v>308.5</v>
      </c>
      <c r="M643" s="170"/>
    </row>
    <row r="644" spans="1:13" x14ac:dyDescent="0.4">
      <c r="A644" s="172">
        <v>309</v>
      </c>
      <c r="B644" s="172">
        <f t="shared" si="43"/>
        <v>308.89999999999998</v>
      </c>
      <c r="C644" s="172"/>
      <c r="D644" s="172"/>
      <c r="F644" s="172"/>
      <c r="G644" s="172">
        <v>309</v>
      </c>
      <c r="H644" s="172"/>
      <c r="I644" s="173"/>
      <c r="J644" s="172"/>
      <c r="K644" s="172">
        <v>309</v>
      </c>
      <c r="M644" s="170"/>
    </row>
    <row r="645" spans="1:13" x14ac:dyDescent="0.4">
      <c r="A645" s="172">
        <v>309.5</v>
      </c>
      <c r="B645" s="172">
        <f t="shared" si="43"/>
        <v>309.39999999999998</v>
      </c>
      <c r="C645" s="172"/>
      <c r="D645" s="172"/>
      <c r="F645" s="172"/>
      <c r="G645" s="172">
        <v>309.5</v>
      </c>
      <c r="H645" s="172"/>
      <c r="I645" s="173"/>
      <c r="J645" s="172"/>
      <c r="K645" s="172">
        <v>309.5</v>
      </c>
      <c r="M645" s="170"/>
    </row>
    <row r="646" spans="1:13" x14ac:dyDescent="0.4">
      <c r="A646" s="172">
        <v>310</v>
      </c>
      <c r="B646" s="172">
        <f t="shared" si="43"/>
        <v>309.89999999999998</v>
      </c>
      <c r="C646" s="172"/>
      <c r="D646" s="172"/>
      <c r="F646" s="172"/>
      <c r="G646" s="172">
        <v>310</v>
      </c>
      <c r="H646" s="172"/>
      <c r="I646" s="173"/>
      <c r="J646" s="172"/>
      <c r="K646" s="172">
        <v>310</v>
      </c>
      <c r="M646" s="170"/>
    </row>
    <row r="647" spans="1:13" x14ac:dyDescent="0.4">
      <c r="A647" s="172">
        <v>310.5</v>
      </c>
      <c r="B647" s="172">
        <f t="shared" si="43"/>
        <v>310.39999999999998</v>
      </c>
      <c r="C647" s="172"/>
      <c r="D647" s="172"/>
      <c r="F647" s="172"/>
      <c r="G647" s="172">
        <v>310.5</v>
      </c>
      <c r="H647" s="172"/>
      <c r="I647" s="173"/>
      <c r="J647" s="172"/>
      <c r="K647" s="172">
        <v>310.5</v>
      </c>
      <c r="M647" s="170"/>
    </row>
    <row r="648" spans="1:13" x14ac:dyDescent="0.4">
      <c r="A648" s="172">
        <v>311</v>
      </c>
      <c r="B648" s="172">
        <f t="shared" si="43"/>
        <v>310.89999999999998</v>
      </c>
      <c r="C648" s="172"/>
      <c r="D648" s="172"/>
      <c r="F648" s="172"/>
      <c r="G648" s="172">
        <v>311</v>
      </c>
      <c r="H648" s="172"/>
      <c r="I648" s="173"/>
      <c r="J648" s="172"/>
      <c r="K648" s="172">
        <v>311</v>
      </c>
      <c r="M648" s="170"/>
    </row>
    <row r="649" spans="1:13" x14ac:dyDescent="0.4">
      <c r="A649" s="172">
        <v>311.5</v>
      </c>
      <c r="B649" s="172">
        <f t="shared" si="43"/>
        <v>311.39999999999998</v>
      </c>
      <c r="C649" s="172"/>
      <c r="D649" s="172"/>
      <c r="F649" s="172"/>
      <c r="G649" s="172">
        <v>311.5</v>
      </c>
      <c r="H649" s="172"/>
      <c r="I649" s="173"/>
      <c r="J649" s="172"/>
      <c r="K649" s="172">
        <v>311.5</v>
      </c>
      <c r="M649" s="170"/>
    </row>
    <row r="650" spans="1:13" x14ac:dyDescent="0.4">
      <c r="A650" s="172">
        <v>312</v>
      </c>
      <c r="B650" s="172">
        <f t="shared" si="43"/>
        <v>311.89999999999998</v>
      </c>
      <c r="C650" s="172"/>
      <c r="D650" s="172"/>
      <c r="F650" s="172"/>
      <c r="G650" s="172">
        <v>312</v>
      </c>
      <c r="H650" s="172"/>
      <c r="I650" s="173"/>
      <c r="J650" s="172"/>
      <c r="K650" s="172">
        <v>312</v>
      </c>
      <c r="M650" s="170"/>
    </row>
    <row r="651" spans="1:13" x14ac:dyDescent="0.4">
      <c r="A651" s="172">
        <v>312.5</v>
      </c>
      <c r="B651" s="172">
        <f t="shared" si="43"/>
        <v>312.39999999999998</v>
      </c>
      <c r="C651" s="172"/>
      <c r="D651" s="172"/>
      <c r="F651" s="172"/>
      <c r="G651" s="172">
        <v>312.5</v>
      </c>
      <c r="H651" s="172"/>
      <c r="I651" s="173"/>
      <c r="J651" s="172"/>
      <c r="K651" s="172">
        <v>312.5</v>
      </c>
      <c r="M651" s="170"/>
    </row>
    <row r="652" spans="1:13" x14ac:dyDescent="0.4">
      <c r="A652" s="172">
        <v>313</v>
      </c>
      <c r="B652" s="172">
        <f t="shared" si="43"/>
        <v>312.89999999999998</v>
      </c>
      <c r="C652" s="172"/>
      <c r="D652" s="172"/>
      <c r="F652" s="172"/>
      <c r="G652" s="172">
        <v>313</v>
      </c>
      <c r="H652" s="172"/>
      <c r="I652" s="173"/>
      <c r="J652" s="172"/>
      <c r="K652" s="172">
        <v>313</v>
      </c>
      <c r="M652" s="170"/>
    </row>
    <row r="653" spans="1:13" x14ac:dyDescent="0.4">
      <c r="A653" s="172">
        <v>313.5</v>
      </c>
      <c r="B653" s="172">
        <f t="shared" si="43"/>
        <v>313.39999999999998</v>
      </c>
      <c r="C653" s="172"/>
      <c r="D653" s="172"/>
      <c r="F653" s="172"/>
      <c r="G653" s="172">
        <v>313.5</v>
      </c>
      <c r="H653" s="172"/>
      <c r="I653" s="173"/>
      <c r="J653" s="172"/>
      <c r="K653" s="172">
        <v>313.5</v>
      </c>
      <c r="M653" s="170"/>
    </row>
    <row r="654" spans="1:13" x14ac:dyDescent="0.4">
      <c r="A654" s="172">
        <v>314</v>
      </c>
      <c r="B654" s="172">
        <f t="shared" si="43"/>
        <v>313.89999999999998</v>
      </c>
      <c r="C654" s="172"/>
      <c r="D654" s="172"/>
      <c r="F654" s="172"/>
      <c r="G654" s="172">
        <v>314</v>
      </c>
      <c r="H654" s="172"/>
      <c r="I654" s="173"/>
      <c r="J654" s="172"/>
      <c r="K654" s="172">
        <v>314</v>
      </c>
      <c r="M654" s="170"/>
    </row>
    <row r="655" spans="1:13" x14ac:dyDescent="0.4">
      <c r="A655" s="172">
        <v>314.5</v>
      </c>
      <c r="B655" s="172">
        <f t="shared" si="43"/>
        <v>314.39999999999998</v>
      </c>
      <c r="C655" s="172"/>
      <c r="D655" s="172"/>
      <c r="F655" s="172"/>
      <c r="G655" s="172">
        <v>314.5</v>
      </c>
      <c r="H655" s="172"/>
      <c r="I655" s="173"/>
      <c r="J655" s="172"/>
      <c r="K655" s="172">
        <v>314.5</v>
      </c>
      <c r="M655" s="170"/>
    </row>
    <row r="656" spans="1:13" x14ac:dyDescent="0.4">
      <c r="A656" s="172">
        <v>315</v>
      </c>
      <c r="B656" s="172">
        <f t="shared" si="43"/>
        <v>314.89999999999998</v>
      </c>
      <c r="C656" s="172"/>
      <c r="D656" s="172"/>
      <c r="F656" s="172"/>
      <c r="G656" s="172">
        <v>315</v>
      </c>
      <c r="H656" s="172"/>
      <c r="I656" s="173"/>
      <c r="J656" s="172"/>
      <c r="K656" s="172">
        <v>315</v>
      </c>
      <c r="M656" s="170"/>
    </row>
    <row r="657" spans="1:13" x14ac:dyDescent="0.4">
      <c r="A657" s="172">
        <v>315.5</v>
      </c>
      <c r="B657" s="172">
        <f t="shared" si="43"/>
        <v>315.39999999999998</v>
      </c>
      <c r="C657" s="172"/>
      <c r="D657" s="172"/>
      <c r="F657" s="172"/>
      <c r="G657" s="172">
        <v>315.5</v>
      </c>
      <c r="H657" s="172"/>
      <c r="I657" s="173"/>
      <c r="J657" s="172"/>
      <c r="K657" s="172">
        <v>315.5</v>
      </c>
      <c r="M657" s="170"/>
    </row>
    <row r="658" spans="1:13" x14ac:dyDescent="0.4">
      <c r="A658" s="172">
        <v>316</v>
      </c>
      <c r="B658" s="172">
        <f t="shared" si="43"/>
        <v>315.89999999999998</v>
      </c>
      <c r="C658" s="172"/>
      <c r="D658" s="172"/>
      <c r="F658" s="172"/>
      <c r="G658" s="172">
        <v>316</v>
      </c>
      <c r="H658" s="172"/>
      <c r="I658" s="173"/>
      <c r="J658" s="172"/>
      <c r="K658" s="172">
        <v>316</v>
      </c>
      <c r="M658" s="170"/>
    </row>
    <row r="659" spans="1:13" x14ac:dyDescent="0.4">
      <c r="A659" s="172">
        <v>316.5</v>
      </c>
      <c r="B659" s="172">
        <f t="shared" si="43"/>
        <v>316.39999999999998</v>
      </c>
      <c r="C659" s="172"/>
      <c r="D659" s="172"/>
      <c r="F659" s="172"/>
      <c r="G659" s="172">
        <v>316.5</v>
      </c>
      <c r="H659" s="172"/>
      <c r="I659" s="173"/>
      <c r="J659" s="172"/>
      <c r="K659" s="172">
        <v>316.5</v>
      </c>
      <c r="M659" s="170"/>
    </row>
    <row r="660" spans="1:13" x14ac:dyDescent="0.4">
      <c r="A660" s="172">
        <v>317</v>
      </c>
      <c r="B660" s="172">
        <f t="shared" si="43"/>
        <v>316.89999999999998</v>
      </c>
      <c r="C660" s="172"/>
      <c r="D660" s="172"/>
      <c r="F660" s="172"/>
      <c r="G660" s="172">
        <v>317</v>
      </c>
      <c r="H660" s="172"/>
      <c r="I660" s="173"/>
      <c r="J660" s="172"/>
      <c r="K660" s="172">
        <v>317</v>
      </c>
      <c r="M660" s="170"/>
    </row>
    <row r="661" spans="1:13" x14ac:dyDescent="0.4">
      <c r="A661" s="172">
        <v>317.5</v>
      </c>
      <c r="B661" s="172">
        <f t="shared" si="43"/>
        <v>317.39999999999998</v>
      </c>
      <c r="C661" s="172"/>
      <c r="D661" s="172"/>
      <c r="F661" s="172"/>
      <c r="G661" s="172">
        <v>317.5</v>
      </c>
      <c r="H661" s="172"/>
      <c r="I661" s="173"/>
      <c r="J661" s="172"/>
      <c r="K661" s="172">
        <v>317.5</v>
      </c>
      <c r="M661" s="170"/>
    </row>
    <row r="662" spans="1:13" x14ac:dyDescent="0.4">
      <c r="A662" s="172">
        <v>318</v>
      </c>
      <c r="B662" s="172">
        <f t="shared" si="43"/>
        <v>317.89999999999998</v>
      </c>
      <c r="C662" s="172"/>
      <c r="D662" s="172"/>
      <c r="F662" s="172"/>
      <c r="G662" s="172">
        <v>318</v>
      </c>
      <c r="H662" s="172"/>
      <c r="I662" s="173"/>
      <c r="J662" s="172"/>
      <c r="K662" s="172">
        <v>318</v>
      </c>
      <c r="M662" s="170"/>
    </row>
    <row r="663" spans="1:13" x14ac:dyDescent="0.4">
      <c r="A663" s="172">
        <v>318.5</v>
      </c>
      <c r="B663" s="172">
        <f t="shared" si="43"/>
        <v>318.39999999999998</v>
      </c>
      <c r="C663" s="172"/>
      <c r="D663" s="172"/>
      <c r="F663" s="172"/>
      <c r="G663" s="172">
        <v>318.5</v>
      </c>
      <c r="H663" s="172"/>
      <c r="I663" s="173"/>
      <c r="J663" s="172"/>
      <c r="K663" s="172">
        <v>318.5</v>
      </c>
      <c r="M663" s="170"/>
    </row>
    <row r="664" spans="1:13" x14ac:dyDescent="0.4">
      <c r="A664" s="172">
        <v>319</v>
      </c>
      <c r="B664" s="172">
        <f t="shared" si="43"/>
        <v>318.89999999999998</v>
      </c>
      <c r="C664" s="172"/>
      <c r="D664" s="172"/>
      <c r="F664" s="172"/>
      <c r="G664" s="172">
        <v>319</v>
      </c>
      <c r="H664" s="172"/>
      <c r="I664" s="173"/>
      <c r="J664" s="172"/>
      <c r="K664" s="172">
        <v>319</v>
      </c>
      <c r="M664" s="170"/>
    </row>
    <row r="665" spans="1:13" x14ac:dyDescent="0.4">
      <c r="A665" s="172">
        <v>319.5</v>
      </c>
      <c r="B665" s="172">
        <f t="shared" si="43"/>
        <v>319.39999999999998</v>
      </c>
      <c r="C665" s="172"/>
      <c r="D665" s="172"/>
      <c r="F665" s="172"/>
      <c r="G665" s="172">
        <v>319.5</v>
      </c>
      <c r="H665" s="172"/>
      <c r="I665" s="173"/>
      <c r="J665" s="172"/>
      <c r="K665" s="172">
        <v>319.5</v>
      </c>
      <c r="M665" s="170"/>
    </row>
    <row r="666" spans="1:13" x14ac:dyDescent="0.4">
      <c r="A666" s="172">
        <v>320</v>
      </c>
      <c r="B666" s="172">
        <f t="shared" ref="B666:B729" si="44">A666-0.1</f>
        <v>319.89999999999998</v>
      </c>
      <c r="C666" s="172">
        <v>11290400</v>
      </c>
      <c r="D666" s="172"/>
      <c r="E666" s="166">
        <f>I666*1000</f>
        <v>7007834.4827586208</v>
      </c>
      <c r="F666" s="172"/>
      <c r="G666" s="172">
        <v>320</v>
      </c>
      <c r="H666" s="172"/>
      <c r="I666" s="173">
        <f>(18/29)*(C666)/1000</f>
        <v>7007.8344827586207</v>
      </c>
      <c r="J666" s="174">
        <f>((22.41/273)*(A666+273))*((1/29)+((1/18)*I666))</f>
        <v>18953.250281924971</v>
      </c>
      <c r="K666" s="172">
        <v>320</v>
      </c>
      <c r="M666" s="170"/>
    </row>
    <row r="667" spans="1:13" x14ac:dyDescent="0.4">
      <c r="A667" s="172">
        <v>320.5</v>
      </c>
      <c r="B667" s="172">
        <f t="shared" si="44"/>
        <v>320.39999999999998</v>
      </c>
      <c r="C667" s="172"/>
      <c r="D667" s="172"/>
      <c r="F667" s="172"/>
      <c r="G667" s="172">
        <v>320.5</v>
      </c>
      <c r="H667" s="172"/>
      <c r="I667" s="173"/>
      <c r="J667" s="172"/>
      <c r="K667" s="172">
        <v>320.5</v>
      </c>
      <c r="M667" s="170"/>
    </row>
    <row r="668" spans="1:13" x14ac:dyDescent="0.4">
      <c r="A668" s="172">
        <v>321</v>
      </c>
      <c r="B668" s="172">
        <f t="shared" si="44"/>
        <v>320.89999999999998</v>
      </c>
      <c r="C668" s="172"/>
      <c r="D668" s="172"/>
      <c r="F668" s="172"/>
      <c r="G668" s="172">
        <v>321</v>
      </c>
      <c r="H668" s="172"/>
      <c r="I668" s="173"/>
      <c r="J668" s="172"/>
      <c r="K668" s="172">
        <v>321</v>
      </c>
      <c r="M668" s="170"/>
    </row>
    <row r="669" spans="1:13" x14ac:dyDescent="0.4">
      <c r="A669" s="172">
        <v>321.5</v>
      </c>
      <c r="B669" s="172">
        <f t="shared" si="44"/>
        <v>321.39999999999998</v>
      </c>
      <c r="C669" s="172"/>
      <c r="D669" s="172"/>
      <c r="F669" s="172"/>
      <c r="G669" s="172">
        <v>321.5</v>
      </c>
      <c r="H669" s="172"/>
      <c r="I669" s="173"/>
      <c r="J669" s="172"/>
      <c r="K669" s="172">
        <v>321.5</v>
      </c>
      <c r="M669" s="170"/>
    </row>
    <row r="670" spans="1:13" x14ac:dyDescent="0.4">
      <c r="A670" s="172">
        <v>322</v>
      </c>
      <c r="B670" s="172">
        <f t="shared" si="44"/>
        <v>321.89999999999998</v>
      </c>
      <c r="C670" s="172"/>
      <c r="D670" s="172"/>
      <c r="F670" s="172"/>
      <c r="G670" s="172">
        <v>322</v>
      </c>
      <c r="H670" s="172"/>
      <c r="I670" s="173"/>
      <c r="J670" s="172"/>
      <c r="K670" s="172">
        <v>322</v>
      </c>
      <c r="M670" s="170"/>
    </row>
    <row r="671" spans="1:13" x14ac:dyDescent="0.4">
      <c r="A671" s="172">
        <v>322.5</v>
      </c>
      <c r="B671" s="172">
        <f t="shared" si="44"/>
        <v>322.39999999999998</v>
      </c>
      <c r="C671" s="172"/>
      <c r="D671" s="172"/>
      <c r="F671" s="172"/>
      <c r="G671" s="172">
        <v>322.5</v>
      </c>
      <c r="H671" s="172"/>
      <c r="I671" s="173"/>
      <c r="J671" s="172"/>
      <c r="K671" s="172">
        <v>322.5</v>
      </c>
      <c r="M671" s="170"/>
    </row>
    <row r="672" spans="1:13" x14ac:dyDescent="0.4">
      <c r="A672" s="172">
        <v>323</v>
      </c>
      <c r="B672" s="172">
        <f t="shared" si="44"/>
        <v>322.89999999999998</v>
      </c>
      <c r="C672" s="172"/>
      <c r="D672" s="172"/>
      <c r="F672" s="172"/>
      <c r="G672" s="172">
        <v>323</v>
      </c>
      <c r="H672" s="172"/>
      <c r="I672" s="173"/>
      <c r="J672" s="172"/>
      <c r="K672" s="172">
        <v>323</v>
      </c>
      <c r="M672" s="170"/>
    </row>
    <row r="673" spans="1:13" x14ac:dyDescent="0.4">
      <c r="A673" s="172">
        <v>323.5</v>
      </c>
      <c r="B673" s="172">
        <f t="shared" si="44"/>
        <v>323.39999999999998</v>
      </c>
      <c r="C673" s="172"/>
      <c r="D673" s="172"/>
      <c r="F673" s="172"/>
      <c r="G673" s="172">
        <v>323.5</v>
      </c>
      <c r="H673" s="172"/>
      <c r="I673" s="173"/>
      <c r="J673" s="172"/>
      <c r="K673" s="172">
        <v>323.5</v>
      </c>
      <c r="M673" s="170"/>
    </row>
    <row r="674" spans="1:13" x14ac:dyDescent="0.4">
      <c r="A674" s="172">
        <v>324</v>
      </c>
      <c r="B674" s="172">
        <f t="shared" si="44"/>
        <v>323.89999999999998</v>
      </c>
      <c r="C674" s="172"/>
      <c r="D674" s="172"/>
      <c r="F674" s="172"/>
      <c r="G674" s="172">
        <v>324</v>
      </c>
      <c r="H674" s="172"/>
      <c r="I674" s="173"/>
      <c r="J674" s="172"/>
      <c r="K674" s="172">
        <v>324</v>
      </c>
      <c r="M674" s="170"/>
    </row>
    <row r="675" spans="1:13" x14ac:dyDescent="0.4">
      <c r="A675" s="172">
        <v>324.5</v>
      </c>
      <c r="B675" s="172">
        <f t="shared" si="44"/>
        <v>324.39999999999998</v>
      </c>
      <c r="C675" s="172"/>
      <c r="D675" s="172"/>
      <c r="F675" s="172"/>
      <c r="G675" s="172">
        <v>324.5</v>
      </c>
      <c r="H675" s="172"/>
      <c r="I675" s="173"/>
      <c r="J675" s="172"/>
      <c r="K675" s="172">
        <v>324.5</v>
      </c>
      <c r="M675" s="170"/>
    </row>
    <row r="676" spans="1:13" x14ac:dyDescent="0.4">
      <c r="A676" s="172">
        <v>325</v>
      </c>
      <c r="B676" s="172">
        <f t="shared" si="44"/>
        <v>324.89999999999998</v>
      </c>
      <c r="C676" s="172"/>
      <c r="D676" s="172"/>
      <c r="F676" s="172"/>
      <c r="G676" s="172">
        <v>325</v>
      </c>
      <c r="H676" s="172"/>
      <c r="I676" s="173"/>
      <c r="J676" s="172"/>
      <c r="K676" s="172">
        <v>325</v>
      </c>
      <c r="M676" s="170"/>
    </row>
    <row r="677" spans="1:13" x14ac:dyDescent="0.4">
      <c r="A677" s="172">
        <v>325.5</v>
      </c>
      <c r="B677" s="172">
        <f t="shared" si="44"/>
        <v>325.39999999999998</v>
      </c>
      <c r="C677" s="172"/>
      <c r="D677" s="172"/>
      <c r="F677" s="172"/>
      <c r="G677" s="172">
        <v>325.5</v>
      </c>
      <c r="H677" s="172"/>
      <c r="I677" s="173"/>
      <c r="J677" s="172"/>
      <c r="K677" s="172">
        <v>325.5</v>
      </c>
      <c r="M677" s="170"/>
    </row>
    <row r="678" spans="1:13" x14ac:dyDescent="0.4">
      <c r="A678" s="172">
        <v>326</v>
      </c>
      <c r="B678" s="172">
        <f t="shared" si="44"/>
        <v>325.89999999999998</v>
      </c>
      <c r="C678" s="172"/>
      <c r="D678" s="172"/>
      <c r="F678" s="172"/>
      <c r="G678" s="172">
        <v>326</v>
      </c>
      <c r="H678" s="172"/>
      <c r="I678" s="173"/>
      <c r="J678" s="172"/>
      <c r="K678" s="172">
        <v>326</v>
      </c>
      <c r="M678" s="170"/>
    </row>
    <row r="679" spans="1:13" x14ac:dyDescent="0.4">
      <c r="A679" s="172">
        <v>326.5</v>
      </c>
      <c r="B679" s="172">
        <f t="shared" si="44"/>
        <v>326.39999999999998</v>
      </c>
      <c r="C679" s="172"/>
      <c r="D679" s="172"/>
      <c r="F679" s="172"/>
      <c r="G679" s="172">
        <v>326.5</v>
      </c>
      <c r="H679" s="172"/>
      <c r="I679" s="173"/>
      <c r="J679" s="172"/>
      <c r="K679" s="172">
        <v>326.5</v>
      </c>
      <c r="M679" s="170"/>
    </row>
    <row r="680" spans="1:13" x14ac:dyDescent="0.4">
      <c r="A680" s="172">
        <v>327</v>
      </c>
      <c r="B680" s="172">
        <f t="shared" si="44"/>
        <v>326.89999999999998</v>
      </c>
      <c r="C680" s="172"/>
      <c r="D680" s="172"/>
      <c r="F680" s="172"/>
      <c r="G680" s="172">
        <v>327</v>
      </c>
      <c r="H680" s="172"/>
      <c r="I680" s="173"/>
      <c r="J680" s="172"/>
      <c r="K680" s="172">
        <v>327</v>
      </c>
      <c r="M680" s="170"/>
    </row>
    <row r="681" spans="1:13" x14ac:dyDescent="0.4">
      <c r="A681" s="172">
        <v>327.5</v>
      </c>
      <c r="B681" s="172">
        <f t="shared" si="44"/>
        <v>327.39999999999998</v>
      </c>
      <c r="C681" s="172"/>
      <c r="D681" s="172"/>
      <c r="F681" s="172"/>
      <c r="G681" s="172">
        <v>327.5</v>
      </c>
      <c r="H681" s="172"/>
      <c r="I681" s="173"/>
      <c r="J681" s="172"/>
      <c r="K681" s="172">
        <v>327.5</v>
      </c>
      <c r="M681" s="170"/>
    </row>
    <row r="682" spans="1:13" x14ac:dyDescent="0.4">
      <c r="A682" s="172">
        <v>328</v>
      </c>
      <c r="B682" s="172">
        <f t="shared" si="44"/>
        <v>327.9</v>
      </c>
      <c r="C682" s="172"/>
      <c r="D682" s="172"/>
      <c r="F682" s="172"/>
      <c r="G682" s="172">
        <v>328</v>
      </c>
      <c r="H682" s="172"/>
      <c r="I682" s="173"/>
      <c r="J682" s="172"/>
      <c r="K682" s="172">
        <v>328</v>
      </c>
      <c r="M682" s="170"/>
    </row>
    <row r="683" spans="1:13" x14ac:dyDescent="0.4">
      <c r="A683" s="172">
        <v>328.5</v>
      </c>
      <c r="B683" s="172">
        <f t="shared" si="44"/>
        <v>328.4</v>
      </c>
      <c r="C683" s="172"/>
      <c r="D683" s="172"/>
      <c r="F683" s="172"/>
      <c r="G683" s="172">
        <v>328.5</v>
      </c>
      <c r="H683" s="172"/>
      <c r="I683" s="173"/>
      <c r="J683" s="172"/>
      <c r="K683" s="172">
        <v>328.5</v>
      </c>
      <c r="M683" s="170"/>
    </row>
    <row r="684" spans="1:13" x14ac:dyDescent="0.4">
      <c r="A684" s="172">
        <v>329</v>
      </c>
      <c r="B684" s="172">
        <f t="shared" si="44"/>
        <v>328.9</v>
      </c>
      <c r="C684" s="172"/>
      <c r="D684" s="172"/>
      <c r="F684" s="172"/>
      <c r="G684" s="172">
        <v>329</v>
      </c>
      <c r="H684" s="172"/>
      <c r="I684" s="173"/>
      <c r="J684" s="172"/>
      <c r="K684" s="172">
        <v>329</v>
      </c>
      <c r="M684" s="170"/>
    </row>
    <row r="685" spans="1:13" x14ac:dyDescent="0.4">
      <c r="A685" s="172">
        <v>329.5</v>
      </c>
      <c r="B685" s="172">
        <f t="shared" si="44"/>
        <v>329.4</v>
      </c>
      <c r="C685" s="172"/>
      <c r="D685" s="172"/>
      <c r="F685" s="172"/>
      <c r="G685" s="172">
        <v>329.5</v>
      </c>
      <c r="H685" s="172"/>
      <c r="I685" s="173"/>
      <c r="J685" s="172"/>
      <c r="K685" s="172">
        <v>329.5</v>
      </c>
      <c r="M685" s="170"/>
    </row>
    <row r="686" spans="1:13" x14ac:dyDescent="0.4">
      <c r="A686" s="172">
        <v>330</v>
      </c>
      <c r="B686" s="172">
        <f t="shared" si="44"/>
        <v>329.9</v>
      </c>
      <c r="C686" s="172"/>
      <c r="D686" s="172"/>
      <c r="F686" s="172"/>
      <c r="G686" s="172">
        <v>330</v>
      </c>
      <c r="H686" s="172"/>
      <c r="I686" s="173"/>
      <c r="J686" s="172"/>
      <c r="K686" s="172">
        <v>330</v>
      </c>
      <c r="M686" s="170"/>
    </row>
    <row r="687" spans="1:13" x14ac:dyDescent="0.4">
      <c r="A687" s="172">
        <v>330.5</v>
      </c>
      <c r="B687" s="172">
        <f t="shared" si="44"/>
        <v>330.4</v>
      </c>
      <c r="C687" s="172"/>
      <c r="D687" s="172"/>
      <c r="F687" s="172"/>
      <c r="G687" s="172">
        <v>330.5</v>
      </c>
      <c r="H687" s="172"/>
      <c r="I687" s="173"/>
      <c r="J687" s="172"/>
      <c r="K687" s="172">
        <v>330.5</v>
      </c>
      <c r="M687" s="170"/>
    </row>
    <row r="688" spans="1:13" x14ac:dyDescent="0.4">
      <c r="A688" s="172">
        <v>331</v>
      </c>
      <c r="B688" s="172">
        <f t="shared" si="44"/>
        <v>330.9</v>
      </c>
      <c r="C688" s="172"/>
      <c r="D688" s="172"/>
      <c r="F688" s="172"/>
      <c r="G688" s="172">
        <v>331</v>
      </c>
      <c r="H688" s="172"/>
      <c r="I688" s="173"/>
      <c r="J688" s="172"/>
      <c r="K688" s="172">
        <v>331</v>
      </c>
      <c r="M688" s="170"/>
    </row>
    <row r="689" spans="1:13" x14ac:dyDescent="0.4">
      <c r="A689" s="172">
        <v>331.5</v>
      </c>
      <c r="B689" s="172">
        <f t="shared" si="44"/>
        <v>331.4</v>
      </c>
      <c r="C689" s="172"/>
      <c r="D689" s="172"/>
      <c r="F689" s="172"/>
      <c r="G689" s="172">
        <v>331.5</v>
      </c>
      <c r="H689" s="172"/>
      <c r="I689" s="173"/>
      <c r="J689" s="172"/>
      <c r="K689" s="172">
        <v>331.5</v>
      </c>
      <c r="M689" s="170"/>
    </row>
    <row r="690" spans="1:13" x14ac:dyDescent="0.4">
      <c r="A690" s="172">
        <v>332</v>
      </c>
      <c r="B690" s="172">
        <f t="shared" si="44"/>
        <v>331.9</v>
      </c>
      <c r="C690" s="172"/>
      <c r="D690" s="172"/>
      <c r="F690" s="172"/>
      <c r="G690" s="172">
        <v>332</v>
      </c>
      <c r="H690" s="172"/>
      <c r="I690" s="173"/>
      <c r="J690" s="172"/>
      <c r="K690" s="172">
        <v>332</v>
      </c>
      <c r="M690" s="170"/>
    </row>
    <row r="691" spans="1:13" x14ac:dyDescent="0.4">
      <c r="A691" s="172">
        <v>332.5</v>
      </c>
      <c r="B691" s="172">
        <f t="shared" si="44"/>
        <v>332.4</v>
      </c>
      <c r="C691" s="172"/>
      <c r="D691" s="172"/>
      <c r="F691" s="172"/>
      <c r="G691" s="172">
        <v>332.5</v>
      </c>
      <c r="H691" s="172"/>
      <c r="I691" s="173"/>
      <c r="J691" s="172"/>
      <c r="K691" s="172">
        <v>332.5</v>
      </c>
      <c r="M691" s="170"/>
    </row>
    <row r="692" spans="1:13" x14ac:dyDescent="0.4">
      <c r="A692" s="172">
        <v>333</v>
      </c>
      <c r="B692" s="172">
        <f t="shared" si="44"/>
        <v>332.9</v>
      </c>
      <c r="C692" s="172"/>
      <c r="D692" s="172"/>
      <c r="F692" s="172"/>
      <c r="G692" s="172">
        <v>333</v>
      </c>
      <c r="H692" s="172"/>
      <c r="I692" s="173"/>
      <c r="J692" s="172"/>
      <c r="K692" s="172">
        <v>333</v>
      </c>
      <c r="M692" s="170"/>
    </row>
    <row r="693" spans="1:13" x14ac:dyDescent="0.4">
      <c r="A693" s="172">
        <v>333.5</v>
      </c>
      <c r="B693" s="172">
        <f t="shared" si="44"/>
        <v>333.4</v>
      </c>
      <c r="C693" s="172"/>
      <c r="D693" s="172"/>
      <c r="F693" s="172"/>
      <c r="G693" s="172">
        <v>333.5</v>
      </c>
      <c r="H693" s="172"/>
      <c r="I693" s="173"/>
      <c r="J693" s="172"/>
      <c r="K693" s="172">
        <v>333.5</v>
      </c>
      <c r="M693" s="170"/>
    </row>
    <row r="694" spans="1:13" x14ac:dyDescent="0.4">
      <c r="A694" s="172">
        <v>334</v>
      </c>
      <c r="B694" s="172">
        <f t="shared" si="44"/>
        <v>333.9</v>
      </c>
      <c r="C694" s="172"/>
      <c r="D694" s="172"/>
      <c r="F694" s="172"/>
      <c r="G694" s="172">
        <v>334</v>
      </c>
      <c r="H694" s="172"/>
      <c r="I694" s="173"/>
      <c r="J694" s="172"/>
      <c r="K694" s="172">
        <v>334</v>
      </c>
      <c r="M694" s="170"/>
    </row>
    <row r="695" spans="1:13" x14ac:dyDescent="0.4">
      <c r="A695" s="172">
        <v>334.5</v>
      </c>
      <c r="B695" s="172">
        <f t="shared" si="44"/>
        <v>334.4</v>
      </c>
      <c r="C695" s="172"/>
      <c r="D695" s="172"/>
      <c r="F695" s="172"/>
      <c r="G695" s="172">
        <v>334.5</v>
      </c>
      <c r="H695" s="172"/>
      <c r="I695" s="173"/>
      <c r="J695" s="172"/>
      <c r="K695" s="172">
        <v>334.5</v>
      </c>
      <c r="M695" s="170"/>
    </row>
    <row r="696" spans="1:13" x14ac:dyDescent="0.4">
      <c r="A696" s="172">
        <v>335</v>
      </c>
      <c r="B696" s="172">
        <f t="shared" si="44"/>
        <v>334.9</v>
      </c>
      <c r="C696" s="172"/>
      <c r="D696" s="172"/>
      <c r="F696" s="172"/>
      <c r="G696" s="172">
        <v>335</v>
      </c>
      <c r="H696" s="172"/>
      <c r="I696" s="173"/>
      <c r="J696" s="172"/>
      <c r="K696" s="172">
        <v>335</v>
      </c>
      <c r="M696" s="170"/>
    </row>
    <row r="697" spans="1:13" x14ac:dyDescent="0.4">
      <c r="A697" s="172">
        <v>335.5</v>
      </c>
      <c r="B697" s="172">
        <f t="shared" si="44"/>
        <v>335.4</v>
      </c>
      <c r="C697" s="172"/>
      <c r="D697" s="172"/>
      <c r="F697" s="172"/>
      <c r="G697" s="172">
        <v>335.5</v>
      </c>
      <c r="H697" s="172"/>
      <c r="I697" s="173"/>
      <c r="J697" s="172"/>
      <c r="K697" s="172">
        <v>335.5</v>
      </c>
      <c r="M697" s="170"/>
    </row>
    <row r="698" spans="1:13" x14ac:dyDescent="0.4">
      <c r="A698" s="172">
        <v>336</v>
      </c>
      <c r="B698" s="172">
        <f t="shared" si="44"/>
        <v>335.9</v>
      </c>
      <c r="C698" s="172"/>
      <c r="D698" s="172"/>
      <c r="F698" s="172"/>
      <c r="G698" s="172">
        <v>336</v>
      </c>
      <c r="H698" s="172"/>
      <c r="I698" s="173"/>
      <c r="J698" s="172"/>
      <c r="K698" s="172">
        <v>336</v>
      </c>
      <c r="M698" s="170"/>
    </row>
    <row r="699" spans="1:13" x14ac:dyDescent="0.4">
      <c r="A699" s="172">
        <v>336.5</v>
      </c>
      <c r="B699" s="172">
        <f t="shared" si="44"/>
        <v>336.4</v>
      </c>
      <c r="C699" s="172"/>
      <c r="D699" s="172"/>
      <c r="F699" s="172"/>
      <c r="G699" s="172">
        <v>336.5</v>
      </c>
      <c r="H699" s="172"/>
      <c r="I699" s="173"/>
      <c r="J699" s="172"/>
      <c r="K699" s="172">
        <v>336.5</v>
      </c>
      <c r="M699" s="170"/>
    </row>
    <row r="700" spans="1:13" x14ac:dyDescent="0.4">
      <c r="A700" s="172">
        <v>337</v>
      </c>
      <c r="B700" s="172">
        <f t="shared" si="44"/>
        <v>336.9</v>
      </c>
      <c r="C700" s="172"/>
      <c r="D700" s="172"/>
      <c r="F700" s="172"/>
      <c r="G700" s="172">
        <v>337</v>
      </c>
      <c r="H700" s="172"/>
      <c r="I700" s="173"/>
      <c r="J700" s="172"/>
      <c r="K700" s="172">
        <v>337</v>
      </c>
      <c r="M700" s="170"/>
    </row>
    <row r="701" spans="1:13" x14ac:dyDescent="0.4">
      <c r="A701" s="172">
        <v>337.5</v>
      </c>
      <c r="B701" s="172">
        <f t="shared" si="44"/>
        <v>337.4</v>
      </c>
      <c r="C701" s="172"/>
      <c r="D701" s="172"/>
      <c r="F701" s="172"/>
      <c r="G701" s="172">
        <v>337.5</v>
      </c>
      <c r="H701" s="172"/>
      <c r="I701" s="173"/>
      <c r="J701" s="172"/>
      <c r="K701" s="172">
        <v>337.5</v>
      </c>
      <c r="M701" s="170"/>
    </row>
    <row r="702" spans="1:13" x14ac:dyDescent="0.4">
      <c r="A702" s="172">
        <v>338</v>
      </c>
      <c r="B702" s="172">
        <f t="shared" si="44"/>
        <v>337.9</v>
      </c>
      <c r="C702" s="172"/>
      <c r="D702" s="172"/>
      <c r="F702" s="172"/>
      <c r="G702" s="172">
        <v>338</v>
      </c>
      <c r="H702" s="172"/>
      <c r="I702" s="173"/>
      <c r="J702" s="172"/>
      <c r="K702" s="172">
        <v>338</v>
      </c>
      <c r="M702" s="170"/>
    </row>
    <row r="703" spans="1:13" x14ac:dyDescent="0.4">
      <c r="A703" s="172">
        <v>338.5</v>
      </c>
      <c r="B703" s="172">
        <f t="shared" si="44"/>
        <v>338.4</v>
      </c>
      <c r="C703" s="172"/>
      <c r="D703" s="172"/>
      <c r="F703" s="172"/>
      <c r="G703" s="172">
        <v>338.5</v>
      </c>
      <c r="H703" s="172"/>
      <c r="I703" s="173"/>
      <c r="J703" s="172"/>
      <c r="K703" s="172">
        <v>338.5</v>
      </c>
      <c r="M703" s="170"/>
    </row>
    <row r="704" spans="1:13" x14ac:dyDescent="0.4">
      <c r="A704" s="172">
        <v>339</v>
      </c>
      <c r="B704" s="172">
        <f t="shared" si="44"/>
        <v>338.9</v>
      </c>
      <c r="C704" s="172"/>
      <c r="D704" s="172"/>
      <c r="F704" s="172"/>
      <c r="G704" s="172">
        <v>339</v>
      </c>
      <c r="H704" s="172"/>
      <c r="I704" s="173"/>
      <c r="J704" s="172"/>
      <c r="K704" s="172">
        <v>339</v>
      </c>
      <c r="M704" s="170"/>
    </row>
    <row r="705" spans="1:13" x14ac:dyDescent="0.4">
      <c r="A705" s="172">
        <v>339.5</v>
      </c>
      <c r="B705" s="172">
        <f t="shared" si="44"/>
        <v>339.4</v>
      </c>
      <c r="C705" s="172"/>
      <c r="D705" s="172"/>
      <c r="F705" s="172"/>
      <c r="G705" s="172">
        <v>339.5</v>
      </c>
      <c r="H705" s="172"/>
      <c r="I705" s="173"/>
      <c r="J705" s="172"/>
      <c r="K705" s="172">
        <v>339.5</v>
      </c>
      <c r="M705" s="170"/>
    </row>
    <row r="706" spans="1:13" x14ac:dyDescent="0.4">
      <c r="A706" s="172">
        <v>340</v>
      </c>
      <c r="B706" s="172">
        <f t="shared" si="44"/>
        <v>339.9</v>
      </c>
      <c r="C706" s="172">
        <v>14610800</v>
      </c>
      <c r="D706" s="172"/>
      <c r="E706" s="166">
        <f>I706*1000</f>
        <v>9068772.4137931038</v>
      </c>
      <c r="F706" s="172"/>
      <c r="G706" s="172">
        <v>340</v>
      </c>
      <c r="H706" s="172"/>
      <c r="I706" s="173">
        <f>(18/29)*(C706)/1000</f>
        <v>9068.7724137931036</v>
      </c>
      <c r="J706" s="174">
        <f>((22.41/273)*(A706+273))*((1/29)+((1/18)*I706))</f>
        <v>25353.936907161802</v>
      </c>
      <c r="K706" s="172">
        <v>340</v>
      </c>
      <c r="M706" s="170"/>
    </row>
    <row r="707" spans="1:13" x14ac:dyDescent="0.4">
      <c r="A707" s="172">
        <v>340.5</v>
      </c>
      <c r="B707" s="172">
        <f t="shared" si="44"/>
        <v>340.4</v>
      </c>
      <c r="C707" s="172"/>
      <c r="D707" s="172"/>
      <c r="F707" s="172"/>
      <c r="G707" s="172">
        <v>340.5</v>
      </c>
      <c r="H707" s="172"/>
      <c r="I707" s="173"/>
      <c r="J707" s="172"/>
      <c r="K707" s="172">
        <v>340.5</v>
      </c>
      <c r="M707" s="170"/>
    </row>
    <row r="708" spans="1:13" x14ac:dyDescent="0.4">
      <c r="A708" s="172">
        <v>341</v>
      </c>
      <c r="B708" s="172">
        <f t="shared" si="44"/>
        <v>340.9</v>
      </c>
      <c r="C708" s="172"/>
      <c r="D708" s="172"/>
      <c r="F708" s="172"/>
      <c r="G708" s="172">
        <v>341</v>
      </c>
      <c r="H708" s="172"/>
      <c r="I708" s="173"/>
      <c r="J708" s="172"/>
      <c r="K708" s="172">
        <v>341</v>
      </c>
      <c r="M708" s="170"/>
    </row>
    <row r="709" spans="1:13" x14ac:dyDescent="0.4">
      <c r="A709" s="172">
        <v>341.5</v>
      </c>
      <c r="B709" s="172">
        <f t="shared" si="44"/>
        <v>341.4</v>
      </c>
      <c r="C709" s="172"/>
      <c r="D709" s="172"/>
      <c r="F709" s="172"/>
      <c r="G709" s="172">
        <v>341.5</v>
      </c>
      <c r="H709" s="172"/>
      <c r="I709" s="173"/>
      <c r="J709" s="172"/>
      <c r="K709" s="172">
        <v>341.5</v>
      </c>
      <c r="M709" s="170"/>
    </row>
    <row r="710" spans="1:13" x14ac:dyDescent="0.4">
      <c r="A710" s="172">
        <v>342</v>
      </c>
      <c r="B710" s="172">
        <f t="shared" si="44"/>
        <v>341.9</v>
      </c>
      <c r="C710" s="172"/>
      <c r="D710" s="172"/>
      <c r="F710" s="172"/>
      <c r="G710" s="172">
        <v>342</v>
      </c>
      <c r="H710" s="172"/>
      <c r="I710" s="173"/>
      <c r="J710" s="172"/>
      <c r="K710" s="172">
        <v>342</v>
      </c>
      <c r="M710" s="170"/>
    </row>
    <row r="711" spans="1:13" x14ac:dyDescent="0.4">
      <c r="A711" s="172">
        <v>342.5</v>
      </c>
      <c r="B711" s="172">
        <f t="shared" si="44"/>
        <v>342.4</v>
      </c>
      <c r="C711" s="172"/>
      <c r="D711" s="172"/>
      <c r="F711" s="172"/>
      <c r="G711" s="172">
        <v>342.5</v>
      </c>
      <c r="H711" s="172"/>
      <c r="I711" s="173"/>
      <c r="J711" s="172"/>
      <c r="K711" s="172">
        <v>342.5</v>
      </c>
      <c r="M711" s="170"/>
    </row>
    <row r="712" spans="1:13" x14ac:dyDescent="0.4">
      <c r="A712" s="172">
        <v>343</v>
      </c>
      <c r="B712" s="172">
        <f t="shared" si="44"/>
        <v>342.9</v>
      </c>
      <c r="C712" s="172"/>
      <c r="D712" s="172"/>
      <c r="F712" s="172"/>
      <c r="G712" s="172">
        <v>343</v>
      </c>
      <c r="H712" s="172"/>
      <c r="I712" s="173"/>
      <c r="J712" s="172"/>
      <c r="K712" s="172">
        <v>343</v>
      </c>
      <c r="M712" s="170"/>
    </row>
    <row r="713" spans="1:13" x14ac:dyDescent="0.4">
      <c r="A713" s="172">
        <v>343.5</v>
      </c>
      <c r="B713" s="172">
        <f t="shared" si="44"/>
        <v>343.4</v>
      </c>
      <c r="C713" s="172"/>
      <c r="D713" s="172"/>
      <c r="F713" s="172"/>
      <c r="G713" s="172">
        <v>343.5</v>
      </c>
      <c r="H713" s="172"/>
      <c r="I713" s="173"/>
      <c r="J713" s="172"/>
      <c r="K713" s="172">
        <v>343.5</v>
      </c>
      <c r="M713" s="170"/>
    </row>
    <row r="714" spans="1:13" x14ac:dyDescent="0.4">
      <c r="A714" s="172">
        <v>344</v>
      </c>
      <c r="B714" s="172">
        <f t="shared" si="44"/>
        <v>343.9</v>
      </c>
      <c r="C714" s="172"/>
      <c r="D714" s="172"/>
      <c r="F714" s="172"/>
      <c r="G714" s="172">
        <v>344</v>
      </c>
      <c r="H714" s="172"/>
      <c r="I714" s="173"/>
      <c r="J714" s="172"/>
      <c r="K714" s="172">
        <v>344</v>
      </c>
      <c r="M714" s="170"/>
    </row>
    <row r="715" spans="1:13" x14ac:dyDescent="0.4">
      <c r="A715" s="172">
        <v>344.5</v>
      </c>
      <c r="B715" s="172">
        <f t="shared" si="44"/>
        <v>344.4</v>
      </c>
      <c r="C715" s="172"/>
      <c r="D715" s="172"/>
      <c r="F715" s="172"/>
      <c r="G715" s="172">
        <v>344.5</v>
      </c>
      <c r="H715" s="172"/>
      <c r="I715" s="173"/>
      <c r="J715" s="172"/>
      <c r="K715" s="172">
        <v>344.5</v>
      </c>
      <c r="M715" s="170"/>
    </row>
    <row r="716" spans="1:13" x14ac:dyDescent="0.4">
      <c r="A716" s="172">
        <v>345</v>
      </c>
      <c r="B716" s="172">
        <f t="shared" si="44"/>
        <v>344.9</v>
      </c>
      <c r="C716" s="172"/>
      <c r="D716" s="172"/>
      <c r="F716" s="172"/>
      <c r="G716" s="172">
        <v>345</v>
      </c>
      <c r="H716" s="172"/>
      <c r="I716" s="173"/>
      <c r="J716" s="172"/>
      <c r="K716" s="172">
        <v>345</v>
      </c>
      <c r="M716" s="170"/>
    </row>
    <row r="717" spans="1:13" x14ac:dyDescent="0.4">
      <c r="A717" s="172">
        <v>345.5</v>
      </c>
      <c r="B717" s="172">
        <f t="shared" si="44"/>
        <v>345.4</v>
      </c>
      <c r="C717" s="172"/>
      <c r="D717" s="172"/>
      <c r="F717" s="172"/>
      <c r="G717" s="172">
        <v>345.5</v>
      </c>
      <c r="H717" s="172"/>
      <c r="I717" s="173"/>
      <c r="J717" s="172"/>
      <c r="K717" s="172">
        <v>345.5</v>
      </c>
      <c r="M717" s="170"/>
    </row>
    <row r="718" spans="1:13" x14ac:dyDescent="0.4">
      <c r="A718" s="172">
        <v>346</v>
      </c>
      <c r="B718" s="172">
        <f t="shared" si="44"/>
        <v>345.9</v>
      </c>
      <c r="C718" s="172"/>
      <c r="D718" s="172"/>
      <c r="F718" s="172"/>
      <c r="G718" s="172">
        <v>346</v>
      </c>
      <c r="H718" s="172"/>
      <c r="I718" s="173"/>
      <c r="J718" s="172"/>
      <c r="K718" s="172">
        <v>346</v>
      </c>
      <c r="M718" s="170"/>
    </row>
    <row r="719" spans="1:13" x14ac:dyDescent="0.4">
      <c r="A719" s="172">
        <v>346.5</v>
      </c>
      <c r="B719" s="172">
        <f t="shared" si="44"/>
        <v>346.4</v>
      </c>
      <c r="C719" s="172"/>
      <c r="D719" s="172"/>
      <c r="F719" s="172"/>
      <c r="G719" s="172">
        <v>346.5</v>
      </c>
      <c r="H719" s="172"/>
      <c r="I719" s="173"/>
      <c r="J719" s="172"/>
      <c r="K719" s="172">
        <v>346.5</v>
      </c>
      <c r="M719" s="170"/>
    </row>
    <row r="720" spans="1:13" x14ac:dyDescent="0.4">
      <c r="A720" s="172">
        <v>347</v>
      </c>
      <c r="B720" s="172">
        <f t="shared" si="44"/>
        <v>346.9</v>
      </c>
      <c r="C720" s="172"/>
      <c r="D720" s="172"/>
      <c r="F720" s="172"/>
      <c r="G720" s="172">
        <v>347</v>
      </c>
      <c r="H720" s="172"/>
      <c r="I720" s="173"/>
      <c r="J720" s="172"/>
      <c r="K720" s="172">
        <v>347</v>
      </c>
      <c r="M720" s="170"/>
    </row>
    <row r="721" spans="1:13" x14ac:dyDescent="0.4">
      <c r="A721" s="172">
        <v>347.5</v>
      </c>
      <c r="B721" s="172">
        <f t="shared" si="44"/>
        <v>347.4</v>
      </c>
      <c r="C721" s="172"/>
      <c r="D721" s="172"/>
      <c r="F721" s="172"/>
      <c r="G721" s="172">
        <v>347.5</v>
      </c>
      <c r="H721" s="172"/>
      <c r="I721" s="173"/>
      <c r="J721" s="172"/>
      <c r="K721" s="172">
        <v>347.5</v>
      </c>
      <c r="M721" s="170"/>
    </row>
    <row r="722" spans="1:13" x14ac:dyDescent="0.4">
      <c r="A722" s="172">
        <v>348</v>
      </c>
      <c r="B722" s="172">
        <f t="shared" si="44"/>
        <v>347.9</v>
      </c>
      <c r="C722" s="172"/>
      <c r="D722" s="172"/>
      <c r="F722" s="172"/>
      <c r="G722" s="172">
        <v>348</v>
      </c>
      <c r="H722" s="172"/>
      <c r="I722" s="173"/>
      <c r="J722" s="172"/>
      <c r="K722" s="172">
        <v>348</v>
      </c>
      <c r="M722" s="170"/>
    </row>
    <row r="723" spans="1:13" x14ac:dyDescent="0.4">
      <c r="A723" s="172">
        <v>348.5</v>
      </c>
      <c r="B723" s="172">
        <f t="shared" si="44"/>
        <v>348.4</v>
      </c>
      <c r="C723" s="172"/>
      <c r="D723" s="172"/>
      <c r="F723" s="172"/>
      <c r="G723" s="172">
        <v>348.5</v>
      </c>
      <c r="H723" s="172"/>
      <c r="I723" s="173"/>
      <c r="J723" s="172"/>
      <c r="K723" s="172">
        <v>348.5</v>
      </c>
      <c r="M723" s="170"/>
    </row>
    <row r="724" spans="1:13" x14ac:dyDescent="0.4">
      <c r="A724" s="172">
        <v>349</v>
      </c>
      <c r="B724" s="172">
        <f t="shared" si="44"/>
        <v>348.9</v>
      </c>
      <c r="C724" s="172"/>
      <c r="D724" s="172"/>
      <c r="F724" s="172"/>
      <c r="G724" s="172">
        <v>349</v>
      </c>
      <c r="H724" s="172"/>
      <c r="I724" s="173"/>
      <c r="J724" s="172"/>
      <c r="K724" s="172">
        <v>349</v>
      </c>
      <c r="M724" s="170"/>
    </row>
    <row r="725" spans="1:13" x14ac:dyDescent="0.4">
      <c r="A725" s="172">
        <v>349.5</v>
      </c>
      <c r="B725" s="172">
        <f t="shared" si="44"/>
        <v>349.4</v>
      </c>
      <c r="C725" s="172"/>
      <c r="D725" s="172"/>
      <c r="F725" s="172"/>
      <c r="G725" s="172">
        <v>349.5</v>
      </c>
      <c r="H725" s="172"/>
      <c r="I725" s="173"/>
      <c r="J725" s="172"/>
      <c r="K725" s="172">
        <v>349.5</v>
      </c>
      <c r="M725" s="170"/>
    </row>
    <row r="726" spans="1:13" x14ac:dyDescent="0.4">
      <c r="A726" s="172">
        <v>350</v>
      </c>
      <c r="B726" s="172">
        <f t="shared" si="44"/>
        <v>349.9</v>
      </c>
      <c r="C726" s="172"/>
      <c r="D726" s="172"/>
      <c r="F726" s="172"/>
      <c r="G726" s="172">
        <v>350</v>
      </c>
      <c r="H726" s="172"/>
      <c r="I726" s="173"/>
      <c r="J726" s="172"/>
      <c r="K726" s="172">
        <v>350</v>
      </c>
      <c r="M726" s="170"/>
    </row>
    <row r="727" spans="1:13" x14ac:dyDescent="0.4">
      <c r="A727" s="172">
        <v>350.5</v>
      </c>
      <c r="B727" s="172">
        <f t="shared" si="44"/>
        <v>350.4</v>
      </c>
      <c r="C727" s="172"/>
      <c r="D727" s="172"/>
      <c r="F727" s="172"/>
      <c r="G727" s="172">
        <v>350.5</v>
      </c>
      <c r="H727" s="172"/>
      <c r="I727" s="173"/>
      <c r="J727" s="172"/>
      <c r="K727" s="172">
        <v>350.5</v>
      </c>
      <c r="M727" s="170"/>
    </row>
    <row r="728" spans="1:13" x14ac:dyDescent="0.4">
      <c r="A728" s="172">
        <v>351</v>
      </c>
      <c r="B728" s="172">
        <f t="shared" si="44"/>
        <v>350.9</v>
      </c>
      <c r="C728" s="172"/>
      <c r="D728" s="172"/>
      <c r="F728" s="172"/>
      <c r="G728" s="172">
        <v>351</v>
      </c>
      <c r="H728" s="172"/>
      <c r="I728" s="173"/>
      <c r="J728" s="172"/>
      <c r="K728" s="172">
        <v>351</v>
      </c>
      <c r="M728" s="170"/>
    </row>
    <row r="729" spans="1:13" x14ac:dyDescent="0.4">
      <c r="A729" s="172">
        <v>351.5</v>
      </c>
      <c r="B729" s="172">
        <f t="shared" si="44"/>
        <v>351.4</v>
      </c>
      <c r="C729" s="172"/>
      <c r="D729" s="172"/>
      <c r="F729" s="172"/>
      <c r="G729" s="172">
        <v>351.5</v>
      </c>
      <c r="H729" s="172"/>
      <c r="I729" s="173"/>
      <c r="J729" s="172"/>
      <c r="K729" s="172">
        <v>351.5</v>
      </c>
      <c r="M729" s="170"/>
    </row>
    <row r="730" spans="1:13" x14ac:dyDescent="0.4">
      <c r="A730" s="172">
        <v>352</v>
      </c>
      <c r="B730" s="172">
        <f t="shared" ref="B730:B746" si="45">A730-0.1</f>
        <v>351.9</v>
      </c>
      <c r="C730" s="172"/>
      <c r="D730" s="172"/>
      <c r="F730" s="172"/>
      <c r="G730" s="172">
        <v>352</v>
      </c>
      <c r="H730" s="172"/>
      <c r="I730" s="173"/>
      <c r="J730" s="172"/>
      <c r="K730" s="172">
        <v>352</v>
      </c>
      <c r="M730" s="170"/>
    </row>
    <row r="731" spans="1:13" x14ac:dyDescent="0.4">
      <c r="A731" s="172">
        <v>352.5</v>
      </c>
      <c r="B731" s="172">
        <f t="shared" si="45"/>
        <v>352.4</v>
      </c>
      <c r="C731" s="172"/>
      <c r="D731" s="172"/>
      <c r="F731" s="172"/>
      <c r="G731" s="172">
        <v>352.5</v>
      </c>
      <c r="H731" s="172"/>
      <c r="I731" s="173"/>
      <c r="J731" s="172"/>
      <c r="K731" s="172">
        <v>352.5</v>
      </c>
      <c r="M731" s="170"/>
    </row>
    <row r="732" spans="1:13" x14ac:dyDescent="0.4">
      <c r="A732" s="172">
        <v>353</v>
      </c>
      <c r="B732" s="172">
        <f t="shared" si="45"/>
        <v>352.9</v>
      </c>
      <c r="C732" s="172"/>
      <c r="D732" s="172"/>
      <c r="F732" s="172"/>
      <c r="G732" s="172">
        <v>353</v>
      </c>
      <c r="H732" s="172"/>
      <c r="I732" s="173"/>
      <c r="J732" s="172"/>
      <c r="K732" s="172">
        <v>353</v>
      </c>
      <c r="M732" s="170"/>
    </row>
    <row r="733" spans="1:13" x14ac:dyDescent="0.4">
      <c r="A733" s="172">
        <v>353.5</v>
      </c>
      <c r="B733" s="172">
        <f t="shared" si="45"/>
        <v>353.4</v>
      </c>
      <c r="C733" s="172"/>
      <c r="D733" s="172"/>
      <c r="F733" s="172"/>
      <c r="G733" s="172">
        <v>353.5</v>
      </c>
      <c r="H733" s="172"/>
      <c r="I733" s="173"/>
      <c r="J733" s="172"/>
      <c r="K733" s="172">
        <v>353.5</v>
      </c>
      <c r="M733" s="170"/>
    </row>
    <row r="734" spans="1:13" x14ac:dyDescent="0.4">
      <c r="A734" s="172">
        <v>354</v>
      </c>
      <c r="B734" s="172">
        <f t="shared" si="45"/>
        <v>353.9</v>
      </c>
      <c r="C734" s="172"/>
      <c r="D734" s="172"/>
      <c r="F734" s="172"/>
      <c r="G734" s="172">
        <v>354</v>
      </c>
      <c r="H734" s="172"/>
      <c r="I734" s="173"/>
      <c r="J734" s="172"/>
      <c r="K734" s="172">
        <v>354</v>
      </c>
      <c r="M734" s="170"/>
    </row>
    <row r="735" spans="1:13" x14ac:dyDescent="0.4">
      <c r="A735" s="172">
        <v>354.5</v>
      </c>
      <c r="B735" s="172">
        <f t="shared" si="45"/>
        <v>354.4</v>
      </c>
      <c r="C735" s="172"/>
      <c r="D735" s="172"/>
      <c r="F735" s="172"/>
      <c r="G735" s="172">
        <v>354.5</v>
      </c>
      <c r="H735" s="172"/>
      <c r="I735" s="173"/>
      <c r="J735" s="172"/>
      <c r="K735" s="172">
        <v>354.5</v>
      </c>
      <c r="M735" s="170"/>
    </row>
    <row r="736" spans="1:13" x14ac:dyDescent="0.4">
      <c r="A736" s="172">
        <v>355</v>
      </c>
      <c r="B736" s="172">
        <f t="shared" si="45"/>
        <v>354.9</v>
      </c>
      <c r="C736" s="172"/>
      <c r="D736" s="172"/>
      <c r="F736" s="172"/>
      <c r="G736" s="172">
        <v>355</v>
      </c>
      <c r="H736" s="172"/>
      <c r="I736" s="173"/>
      <c r="J736" s="172"/>
      <c r="K736" s="172">
        <v>355</v>
      </c>
      <c r="M736" s="170"/>
    </row>
    <row r="737" spans="1:13" x14ac:dyDescent="0.4">
      <c r="A737" s="172">
        <v>355.5</v>
      </c>
      <c r="B737" s="172">
        <f t="shared" si="45"/>
        <v>355.4</v>
      </c>
      <c r="C737" s="172"/>
      <c r="D737" s="172"/>
      <c r="F737" s="172"/>
      <c r="G737" s="172">
        <v>355.5</v>
      </c>
      <c r="H737" s="172"/>
      <c r="I737" s="173"/>
      <c r="J737" s="172"/>
      <c r="K737" s="172">
        <v>355.5</v>
      </c>
      <c r="M737" s="170"/>
    </row>
    <row r="738" spans="1:13" x14ac:dyDescent="0.4">
      <c r="A738" s="172">
        <v>356</v>
      </c>
      <c r="B738" s="172">
        <f t="shared" si="45"/>
        <v>355.9</v>
      </c>
      <c r="C738" s="172"/>
      <c r="D738" s="172"/>
      <c r="F738" s="172"/>
      <c r="G738" s="172">
        <v>356</v>
      </c>
      <c r="H738" s="172"/>
      <c r="I738" s="173"/>
      <c r="J738" s="172"/>
      <c r="K738" s="172">
        <v>356</v>
      </c>
      <c r="M738" s="170"/>
    </row>
    <row r="739" spans="1:13" x14ac:dyDescent="0.4">
      <c r="A739" s="172">
        <v>356.5</v>
      </c>
      <c r="B739" s="172">
        <f t="shared" si="45"/>
        <v>356.4</v>
      </c>
      <c r="C739" s="172"/>
      <c r="D739" s="172"/>
      <c r="F739" s="172"/>
      <c r="G739" s="172">
        <v>356.5</v>
      </c>
      <c r="H739" s="172"/>
      <c r="I739" s="173"/>
      <c r="J739" s="172"/>
      <c r="K739" s="172">
        <v>356.5</v>
      </c>
      <c r="M739" s="170"/>
    </row>
    <row r="740" spans="1:13" x14ac:dyDescent="0.4">
      <c r="A740" s="172">
        <v>357</v>
      </c>
      <c r="B740" s="172">
        <f t="shared" si="45"/>
        <v>356.9</v>
      </c>
      <c r="C740" s="172"/>
      <c r="D740" s="172"/>
      <c r="F740" s="172"/>
      <c r="G740" s="172">
        <v>357</v>
      </c>
      <c r="H740" s="172"/>
      <c r="I740" s="173"/>
      <c r="J740" s="172"/>
      <c r="K740" s="172">
        <v>357</v>
      </c>
      <c r="M740" s="170"/>
    </row>
    <row r="741" spans="1:13" x14ac:dyDescent="0.4">
      <c r="A741" s="172">
        <v>357.5</v>
      </c>
      <c r="B741" s="172">
        <f t="shared" si="45"/>
        <v>357.4</v>
      </c>
      <c r="C741" s="172"/>
      <c r="D741" s="172"/>
      <c r="F741" s="172"/>
      <c r="G741" s="172">
        <v>357.5</v>
      </c>
      <c r="H741" s="172"/>
      <c r="I741" s="173"/>
      <c r="J741" s="172"/>
      <c r="K741" s="172">
        <v>357.5</v>
      </c>
      <c r="M741" s="170"/>
    </row>
    <row r="742" spans="1:13" x14ac:dyDescent="0.4">
      <c r="A742" s="172">
        <v>358</v>
      </c>
      <c r="B742" s="172">
        <f t="shared" si="45"/>
        <v>357.9</v>
      </c>
      <c r="C742" s="172"/>
      <c r="D742" s="172"/>
      <c r="F742" s="172"/>
      <c r="G742" s="172">
        <v>358</v>
      </c>
      <c r="H742" s="172"/>
      <c r="I742" s="173"/>
      <c r="J742" s="172"/>
      <c r="K742" s="172">
        <v>358</v>
      </c>
      <c r="M742" s="170"/>
    </row>
    <row r="743" spans="1:13" x14ac:dyDescent="0.4">
      <c r="A743" s="172">
        <v>358.5</v>
      </c>
      <c r="B743" s="172">
        <f t="shared" si="45"/>
        <v>358.4</v>
      </c>
      <c r="C743" s="172"/>
      <c r="D743" s="172"/>
      <c r="F743" s="172"/>
      <c r="G743" s="172">
        <v>358.5</v>
      </c>
      <c r="H743" s="172"/>
      <c r="I743" s="173"/>
      <c r="J743" s="172"/>
      <c r="K743" s="172">
        <v>358.5</v>
      </c>
      <c r="M743" s="170"/>
    </row>
    <row r="744" spans="1:13" x14ac:dyDescent="0.4">
      <c r="A744" s="172">
        <v>359</v>
      </c>
      <c r="B744" s="172">
        <f t="shared" si="45"/>
        <v>358.9</v>
      </c>
      <c r="C744" s="172"/>
      <c r="D744" s="172"/>
      <c r="F744" s="172"/>
      <c r="G744" s="172">
        <v>359</v>
      </c>
      <c r="H744" s="172"/>
      <c r="I744" s="173"/>
      <c r="J744" s="172"/>
      <c r="K744" s="172">
        <v>359</v>
      </c>
      <c r="M744" s="170"/>
    </row>
    <row r="745" spans="1:13" x14ac:dyDescent="0.4">
      <c r="A745" s="172">
        <v>359.5</v>
      </c>
      <c r="B745" s="172">
        <f t="shared" si="45"/>
        <v>359.4</v>
      </c>
      <c r="C745" s="172"/>
      <c r="D745" s="172"/>
      <c r="F745" s="172"/>
      <c r="G745" s="172">
        <v>359.5</v>
      </c>
      <c r="H745" s="172"/>
      <c r="I745" s="173"/>
      <c r="J745" s="172"/>
      <c r="K745" s="172">
        <v>359.5</v>
      </c>
      <c r="M745" s="170"/>
    </row>
    <row r="746" spans="1:13" x14ac:dyDescent="0.4">
      <c r="A746" s="172">
        <v>360</v>
      </c>
      <c r="B746" s="172">
        <f t="shared" si="45"/>
        <v>359.9</v>
      </c>
      <c r="C746" s="172">
        <v>18650500</v>
      </c>
      <c r="D746" s="172"/>
      <c r="E746" s="166">
        <f>I746*1000</f>
        <v>11576172.413793104</v>
      </c>
      <c r="F746" s="172"/>
      <c r="G746" s="172">
        <v>360</v>
      </c>
      <c r="H746" s="172"/>
      <c r="I746" s="173">
        <f>(18/29)*(C746)/1000</f>
        <v>11576.172413793103</v>
      </c>
      <c r="J746" s="174">
        <f>((22.41/273)*(A746+273))*((1/29)+((1/18)*I746))</f>
        <v>33419.402904509283</v>
      </c>
      <c r="K746" s="172">
        <v>360</v>
      </c>
      <c r="M746" s="170"/>
    </row>
    <row r="747" spans="1:13" x14ac:dyDescent="0.4">
      <c r="M747" s="170"/>
    </row>
    <row r="748" spans="1:13" x14ac:dyDescent="0.4">
      <c r="M748" s="170"/>
    </row>
    <row r="749" spans="1:13" x14ac:dyDescent="0.4">
      <c r="M749" s="170"/>
    </row>
    <row r="750" spans="1:13" x14ac:dyDescent="0.4">
      <c r="M750" s="170"/>
    </row>
    <row r="751" spans="1:13" x14ac:dyDescent="0.4">
      <c r="M751" s="170"/>
    </row>
    <row r="752" spans="1:13" x14ac:dyDescent="0.4">
      <c r="M752" s="170"/>
    </row>
    <row r="753" spans="13:13" x14ac:dyDescent="0.4">
      <c r="M753" s="170"/>
    </row>
    <row r="754" spans="13:13" x14ac:dyDescent="0.4">
      <c r="M754" s="170"/>
    </row>
    <row r="755" spans="13:13" x14ac:dyDescent="0.4">
      <c r="M755" s="170"/>
    </row>
    <row r="756" spans="13:13" x14ac:dyDescent="0.4">
      <c r="M756" s="170"/>
    </row>
    <row r="757" spans="13:13" x14ac:dyDescent="0.4">
      <c r="M757" s="170"/>
    </row>
    <row r="758" spans="13:13" x14ac:dyDescent="0.4">
      <c r="M758" s="170"/>
    </row>
    <row r="759" spans="13:13" x14ac:dyDescent="0.4">
      <c r="M759" s="170"/>
    </row>
    <row r="760" spans="13:13" x14ac:dyDescent="0.4">
      <c r="M760" s="170"/>
    </row>
    <row r="761" spans="13:13" x14ac:dyDescent="0.4">
      <c r="M761" s="170"/>
    </row>
    <row r="762" spans="13:13" x14ac:dyDescent="0.4">
      <c r="M762" s="170"/>
    </row>
    <row r="763" spans="13:13" x14ac:dyDescent="0.4">
      <c r="M763" s="170"/>
    </row>
    <row r="764" spans="13:13" x14ac:dyDescent="0.4">
      <c r="M764" s="170"/>
    </row>
    <row r="765" spans="13:13" x14ac:dyDescent="0.4">
      <c r="M765" s="170"/>
    </row>
    <row r="766" spans="13:13" x14ac:dyDescent="0.4">
      <c r="M766" s="170"/>
    </row>
    <row r="767" spans="13:13" x14ac:dyDescent="0.4">
      <c r="M767" s="170"/>
    </row>
    <row r="768" spans="13:13" x14ac:dyDescent="0.4">
      <c r="M768" s="170"/>
    </row>
    <row r="769" spans="13:13" x14ac:dyDescent="0.4">
      <c r="M769" s="170"/>
    </row>
    <row r="770" spans="13:13" x14ac:dyDescent="0.4">
      <c r="M770" s="170"/>
    </row>
    <row r="771" spans="13:13" x14ac:dyDescent="0.4">
      <c r="M771" s="170"/>
    </row>
    <row r="772" spans="13:13" x14ac:dyDescent="0.4">
      <c r="M772" s="170"/>
    </row>
    <row r="773" spans="13:13" x14ac:dyDescent="0.4">
      <c r="M773" s="170"/>
    </row>
    <row r="774" spans="13:13" x14ac:dyDescent="0.4">
      <c r="M774" s="170"/>
    </row>
    <row r="775" spans="13:13" x14ac:dyDescent="0.4">
      <c r="M775" s="170"/>
    </row>
    <row r="776" spans="13:13" x14ac:dyDescent="0.4">
      <c r="M776" s="170"/>
    </row>
    <row r="777" spans="13:13" x14ac:dyDescent="0.4">
      <c r="M777" s="170"/>
    </row>
    <row r="778" spans="13:13" x14ac:dyDescent="0.4">
      <c r="M778" s="170"/>
    </row>
    <row r="779" spans="13:13" x14ac:dyDescent="0.4">
      <c r="M779" s="170"/>
    </row>
    <row r="780" spans="13:13" x14ac:dyDescent="0.4">
      <c r="M780" s="170"/>
    </row>
    <row r="781" spans="13:13" x14ac:dyDescent="0.4">
      <c r="M781" s="170"/>
    </row>
    <row r="782" spans="13:13" x14ac:dyDescent="0.4">
      <c r="M782" s="170"/>
    </row>
    <row r="783" spans="13:13" x14ac:dyDescent="0.4">
      <c r="M783" s="170"/>
    </row>
    <row r="784" spans="13:13" x14ac:dyDescent="0.4">
      <c r="M784" s="170"/>
    </row>
    <row r="785" spans="13:13" x14ac:dyDescent="0.4">
      <c r="M785" s="170"/>
    </row>
    <row r="786" spans="13:13" x14ac:dyDescent="0.4">
      <c r="M786" s="170"/>
    </row>
    <row r="787" spans="13:13" x14ac:dyDescent="0.4">
      <c r="M787" s="170"/>
    </row>
    <row r="788" spans="13:13" x14ac:dyDescent="0.4">
      <c r="M788" s="170"/>
    </row>
    <row r="789" spans="13:13" x14ac:dyDescent="0.4">
      <c r="M789" s="170"/>
    </row>
    <row r="790" spans="13:13" x14ac:dyDescent="0.4">
      <c r="M790" s="170"/>
    </row>
    <row r="791" spans="13:13" x14ac:dyDescent="0.4">
      <c r="M791" s="170"/>
    </row>
    <row r="792" spans="13:13" x14ac:dyDescent="0.4">
      <c r="M792" s="170"/>
    </row>
    <row r="793" spans="13:13" x14ac:dyDescent="0.4">
      <c r="M793" s="170"/>
    </row>
    <row r="794" spans="13:13" x14ac:dyDescent="0.4">
      <c r="M794" s="170"/>
    </row>
    <row r="795" spans="13:13" x14ac:dyDescent="0.4">
      <c r="M795" s="170"/>
    </row>
    <row r="796" spans="13:13" x14ac:dyDescent="0.4">
      <c r="M796" s="170"/>
    </row>
    <row r="797" spans="13:13" x14ac:dyDescent="0.4">
      <c r="M797" s="170"/>
    </row>
    <row r="798" spans="13:13" x14ac:dyDescent="0.4">
      <c r="M798" s="170"/>
    </row>
    <row r="799" spans="13:13" x14ac:dyDescent="0.4">
      <c r="M799" s="170"/>
    </row>
    <row r="800" spans="13:13" x14ac:dyDescent="0.4">
      <c r="M800" s="170"/>
    </row>
    <row r="801" spans="13:13" x14ac:dyDescent="0.4">
      <c r="M801" s="170"/>
    </row>
    <row r="802" spans="13:13" x14ac:dyDescent="0.4">
      <c r="M802" s="170"/>
    </row>
    <row r="803" spans="13:13" x14ac:dyDescent="0.4">
      <c r="M803" s="170"/>
    </row>
    <row r="804" spans="13:13" x14ac:dyDescent="0.4">
      <c r="M804" s="170"/>
    </row>
    <row r="805" spans="13:13" x14ac:dyDescent="0.4">
      <c r="M805" s="170"/>
    </row>
    <row r="806" spans="13:13" x14ac:dyDescent="0.4">
      <c r="M806" s="170"/>
    </row>
    <row r="807" spans="13:13" x14ac:dyDescent="0.4">
      <c r="M807" s="170"/>
    </row>
    <row r="808" spans="13:13" x14ac:dyDescent="0.4">
      <c r="M808" s="170"/>
    </row>
    <row r="809" spans="13:13" x14ac:dyDescent="0.4">
      <c r="M809" s="170"/>
    </row>
    <row r="810" spans="13:13" x14ac:dyDescent="0.4">
      <c r="M810" s="170"/>
    </row>
    <row r="811" spans="13:13" x14ac:dyDescent="0.4">
      <c r="M811" s="170"/>
    </row>
    <row r="812" spans="13:13" x14ac:dyDescent="0.4">
      <c r="M812" s="170"/>
    </row>
    <row r="813" spans="13:13" x14ac:dyDescent="0.4">
      <c r="M813" s="170"/>
    </row>
    <row r="814" spans="13:13" x14ac:dyDescent="0.4">
      <c r="M814" s="170"/>
    </row>
    <row r="815" spans="13:13" x14ac:dyDescent="0.4">
      <c r="M815" s="170"/>
    </row>
    <row r="816" spans="13:13" x14ac:dyDescent="0.4">
      <c r="M816" s="170"/>
    </row>
    <row r="817" spans="13:13" x14ac:dyDescent="0.4">
      <c r="M817" s="170"/>
    </row>
    <row r="818" spans="13:13" x14ac:dyDescent="0.4">
      <c r="M818" s="170"/>
    </row>
    <row r="819" spans="13:13" x14ac:dyDescent="0.4">
      <c r="M819" s="170"/>
    </row>
    <row r="820" spans="13:13" x14ac:dyDescent="0.4">
      <c r="M820" s="170"/>
    </row>
    <row r="821" spans="13:13" x14ac:dyDescent="0.4">
      <c r="M821" s="170"/>
    </row>
    <row r="822" spans="13:13" x14ac:dyDescent="0.4">
      <c r="M822" s="170"/>
    </row>
    <row r="823" spans="13:13" x14ac:dyDescent="0.4">
      <c r="M823" s="170"/>
    </row>
    <row r="824" spans="13:13" x14ac:dyDescent="0.4">
      <c r="M824" s="170"/>
    </row>
    <row r="825" spans="13:13" x14ac:dyDescent="0.4">
      <c r="M825" s="170"/>
    </row>
    <row r="826" spans="13:13" x14ac:dyDescent="0.4">
      <c r="M826" s="170"/>
    </row>
    <row r="827" spans="13:13" x14ac:dyDescent="0.4">
      <c r="M827" s="170"/>
    </row>
    <row r="828" spans="13:13" x14ac:dyDescent="0.4">
      <c r="M828" s="170"/>
    </row>
    <row r="829" spans="13:13" x14ac:dyDescent="0.4">
      <c r="M829" s="170"/>
    </row>
    <row r="830" spans="13:13" x14ac:dyDescent="0.4">
      <c r="M830" s="170"/>
    </row>
    <row r="831" spans="13:13" x14ac:dyDescent="0.4">
      <c r="M831" s="170"/>
    </row>
    <row r="832" spans="13:13" x14ac:dyDescent="0.4">
      <c r="M832" s="170"/>
    </row>
    <row r="833" spans="13:13" x14ac:dyDescent="0.4">
      <c r="M833" s="170"/>
    </row>
    <row r="834" spans="13:13" x14ac:dyDescent="0.4">
      <c r="M834" s="170"/>
    </row>
    <row r="835" spans="13:13" x14ac:dyDescent="0.4">
      <c r="M835" s="170"/>
    </row>
    <row r="836" spans="13:13" x14ac:dyDescent="0.4">
      <c r="M836" s="170"/>
    </row>
    <row r="837" spans="13:13" x14ac:dyDescent="0.4">
      <c r="M837" s="170"/>
    </row>
    <row r="838" spans="13:13" x14ac:dyDescent="0.4">
      <c r="M838" s="170"/>
    </row>
    <row r="839" spans="13:13" x14ac:dyDescent="0.4">
      <c r="M839" s="170"/>
    </row>
    <row r="840" spans="13:13" x14ac:dyDescent="0.4">
      <c r="M840" s="170"/>
    </row>
    <row r="841" spans="13:13" x14ac:dyDescent="0.4">
      <c r="M841" s="170"/>
    </row>
    <row r="842" spans="13:13" x14ac:dyDescent="0.4">
      <c r="M842" s="170"/>
    </row>
    <row r="843" spans="13:13" x14ac:dyDescent="0.4">
      <c r="M843" s="170"/>
    </row>
    <row r="844" spans="13:13" x14ac:dyDescent="0.4">
      <c r="M844" s="170"/>
    </row>
    <row r="845" spans="13:13" x14ac:dyDescent="0.4">
      <c r="M845" s="170"/>
    </row>
    <row r="846" spans="13:13" x14ac:dyDescent="0.4">
      <c r="M846" s="170"/>
    </row>
    <row r="847" spans="13:13" x14ac:dyDescent="0.4">
      <c r="M847" s="170"/>
    </row>
    <row r="848" spans="13:13" x14ac:dyDescent="0.4">
      <c r="M848" s="170"/>
    </row>
    <row r="849" spans="13:13" x14ac:dyDescent="0.4">
      <c r="M849" s="170"/>
    </row>
    <row r="850" spans="13:13" x14ac:dyDescent="0.4">
      <c r="M850" s="170"/>
    </row>
    <row r="851" spans="13:13" x14ac:dyDescent="0.4">
      <c r="M851" s="170"/>
    </row>
    <row r="852" spans="13:13" x14ac:dyDescent="0.4">
      <c r="M852" s="170"/>
    </row>
    <row r="853" spans="13:13" x14ac:dyDescent="0.4">
      <c r="M853" s="170"/>
    </row>
    <row r="854" spans="13:13" x14ac:dyDescent="0.4">
      <c r="M854" s="170"/>
    </row>
    <row r="855" spans="13:13" x14ac:dyDescent="0.4">
      <c r="M855" s="170"/>
    </row>
    <row r="856" spans="13:13" x14ac:dyDescent="0.4">
      <c r="M856" s="170"/>
    </row>
    <row r="857" spans="13:13" x14ac:dyDescent="0.4">
      <c r="M857" s="170"/>
    </row>
    <row r="858" spans="13:13" x14ac:dyDescent="0.4">
      <c r="M858" s="170"/>
    </row>
    <row r="859" spans="13:13" x14ac:dyDescent="0.4">
      <c r="M859" s="170"/>
    </row>
    <row r="860" spans="13:13" x14ac:dyDescent="0.4">
      <c r="M860" s="170"/>
    </row>
    <row r="861" spans="13:13" x14ac:dyDescent="0.4">
      <c r="M861" s="170"/>
    </row>
    <row r="862" spans="13:13" x14ac:dyDescent="0.4">
      <c r="M862" s="170"/>
    </row>
    <row r="863" spans="13:13" x14ac:dyDescent="0.4">
      <c r="M863" s="170"/>
    </row>
    <row r="864" spans="13:13" x14ac:dyDescent="0.4">
      <c r="M864" s="170"/>
    </row>
    <row r="865" spans="13:13" x14ac:dyDescent="0.4">
      <c r="M865" s="170"/>
    </row>
    <row r="866" spans="13:13" x14ac:dyDescent="0.4">
      <c r="M866" s="170"/>
    </row>
    <row r="867" spans="13:13" x14ac:dyDescent="0.4">
      <c r="M867" s="170"/>
    </row>
    <row r="868" spans="13:13" x14ac:dyDescent="0.4">
      <c r="M868" s="170"/>
    </row>
    <row r="869" spans="13:13" x14ac:dyDescent="0.4">
      <c r="M869" s="170"/>
    </row>
    <row r="870" spans="13:13" x14ac:dyDescent="0.4">
      <c r="M870" s="170"/>
    </row>
    <row r="871" spans="13:13" x14ac:dyDescent="0.4">
      <c r="M871" s="170"/>
    </row>
    <row r="872" spans="13:13" x14ac:dyDescent="0.4">
      <c r="M872" s="170"/>
    </row>
    <row r="873" spans="13:13" x14ac:dyDescent="0.4">
      <c r="M873" s="170"/>
    </row>
    <row r="874" spans="13:13" x14ac:dyDescent="0.4">
      <c r="M874" s="170"/>
    </row>
    <row r="875" spans="13:13" x14ac:dyDescent="0.4">
      <c r="M875" s="170"/>
    </row>
    <row r="876" spans="13:13" x14ac:dyDescent="0.4">
      <c r="M876" s="170"/>
    </row>
    <row r="877" spans="13:13" x14ac:dyDescent="0.4">
      <c r="M877" s="170"/>
    </row>
    <row r="878" spans="13:13" x14ac:dyDescent="0.4">
      <c r="M878" s="170"/>
    </row>
    <row r="879" spans="13:13" x14ac:dyDescent="0.4">
      <c r="M879" s="170"/>
    </row>
    <row r="880" spans="13:13" x14ac:dyDescent="0.4">
      <c r="M880" s="170"/>
    </row>
    <row r="881" spans="13:13" x14ac:dyDescent="0.4">
      <c r="M881" s="170"/>
    </row>
    <row r="882" spans="13:13" x14ac:dyDescent="0.4">
      <c r="M882" s="170"/>
    </row>
    <row r="883" spans="13:13" x14ac:dyDescent="0.4">
      <c r="M883" s="170"/>
    </row>
    <row r="884" spans="13:13" x14ac:dyDescent="0.4">
      <c r="M884" s="170"/>
    </row>
    <row r="885" spans="13:13" x14ac:dyDescent="0.4">
      <c r="M885" s="170"/>
    </row>
    <row r="886" spans="13:13" x14ac:dyDescent="0.4">
      <c r="M886" s="170"/>
    </row>
    <row r="887" spans="13:13" x14ac:dyDescent="0.4">
      <c r="M887" s="170"/>
    </row>
    <row r="888" spans="13:13" x14ac:dyDescent="0.4">
      <c r="M888" s="170"/>
    </row>
    <row r="889" spans="13:13" x14ac:dyDescent="0.4">
      <c r="M889" s="170"/>
    </row>
    <row r="890" spans="13:13" x14ac:dyDescent="0.4">
      <c r="M890" s="170"/>
    </row>
    <row r="891" spans="13:13" x14ac:dyDescent="0.4">
      <c r="M891" s="170"/>
    </row>
    <row r="892" spans="13:13" x14ac:dyDescent="0.4">
      <c r="M892" s="170"/>
    </row>
    <row r="893" spans="13:13" x14ac:dyDescent="0.4">
      <c r="M893" s="170"/>
    </row>
    <row r="894" spans="13:13" x14ac:dyDescent="0.4">
      <c r="M894" s="170"/>
    </row>
    <row r="895" spans="13:13" x14ac:dyDescent="0.4">
      <c r="M895" s="170"/>
    </row>
    <row r="896" spans="13:13" x14ac:dyDescent="0.4">
      <c r="M896" s="170"/>
    </row>
    <row r="897" spans="13:13" x14ac:dyDescent="0.4">
      <c r="M897" s="170"/>
    </row>
    <row r="898" spans="13:13" x14ac:dyDescent="0.4">
      <c r="M898" s="170"/>
    </row>
    <row r="899" spans="13:13" x14ac:dyDescent="0.4">
      <c r="M899" s="170"/>
    </row>
    <row r="900" spans="13:13" x14ac:dyDescent="0.4">
      <c r="M900" s="170"/>
    </row>
    <row r="901" spans="13:13" x14ac:dyDescent="0.4">
      <c r="M901" s="170"/>
    </row>
    <row r="902" spans="13:13" x14ac:dyDescent="0.4">
      <c r="M902" s="170"/>
    </row>
    <row r="903" spans="13:13" x14ac:dyDescent="0.4">
      <c r="M903" s="170"/>
    </row>
    <row r="904" spans="13:13" x14ac:dyDescent="0.4">
      <c r="M904" s="170"/>
    </row>
    <row r="905" spans="13:13" x14ac:dyDescent="0.4">
      <c r="M905" s="170"/>
    </row>
    <row r="906" spans="13:13" x14ac:dyDescent="0.4">
      <c r="M906" s="170"/>
    </row>
    <row r="907" spans="13:13" x14ac:dyDescent="0.4">
      <c r="M907" s="170"/>
    </row>
    <row r="908" spans="13:13" x14ac:dyDescent="0.4">
      <c r="M908" s="170"/>
    </row>
    <row r="909" spans="13:13" x14ac:dyDescent="0.4">
      <c r="M909" s="170"/>
    </row>
    <row r="910" spans="13:13" x14ac:dyDescent="0.4">
      <c r="M910" s="170"/>
    </row>
    <row r="911" spans="13:13" x14ac:dyDescent="0.4">
      <c r="M911" s="170"/>
    </row>
    <row r="912" spans="13:13" x14ac:dyDescent="0.4">
      <c r="M912" s="170"/>
    </row>
    <row r="913" spans="13:13" x14ac:dyDescent="0.4">
      <c r="M913" s="170"/>
    </row>
    <row r="914" spans="13:13" x14ac:dyDescent="0.4">
      <c r="M914" s="170"/>
    </row>
    <row r="915" spans="13:13" x14ac:dyDescent="0.4">
      <c r="M915" s="170"/>
    </row>
    <row r="916" spans="13:13" x14ac:dyDescent="0.4">
      <c r="M916" s="170"/>
    </row>
    <row r="917" spans="13:13" x14ac:dyDescent="0.4">
      <c r="M917" s="170"/>
    </row>
    <row r="918" spans="13:13" x14ac:dyDescent="0.4">
      <c r="M918" s="170"/>
    </row>
    <row r="919" spans="13:13" x14ac:dyDescent="0.4">
      <c r="M919" s="170"/>
    </row>
    <row r="920" spans="13:13" x14ac:dyDescent="0.4">
      <c r="M920" s="170"/>
    </row>
    <row r="921" spans="13:13" x14ac:dyDescent="0.4">
      <c r="M921" s="170"/>
    </row>
    <row r="922" spans="13:13" x14ac:dyDescent="0.4">
      <c r="M922" s="170"/>
    </row>
    <row r="923" spans="13:13" x14ac:dyDescent="0.4">
      <c r="M923" s="170"/>
    </row>
    <row r="924" spans="13:13" x14ac:dyDescent="0.4">
      <c r="M924" s="170"/>
    </row>
    <row r="925" spans="13:13" x14ac:dyDescent="0.4">
      <c r="M925" s="170"/>
    </row>
    <row r="926" spans="13:13" x14ac:dyDescent="0.4">
      <c r="M926" s="170"/>
    </row>
    <row r="927" spans="13:13" x14ac:dyDescent="0.4">
      <c r="M927" s="170"/>
    </row>
    <row r="928" spans="13:13" x14ac:dyDescent="0.4">
      <c r="M928" s="170"/>
    </row>
    <row r="929" spans="13:13" x14ac:dyDescent="0.4">
      <c r="M929" s="170"/>
    </row>
    <row r="930" spans="13:13" x14ac:dyDescent="0.4">
      <c r="M930" s="170"/>
    </row>
    <row r="931" spans="13:13" x14ac:dyDescent="0.4">
      <c r="M931" s="170"/>
    </row>
    <row r="932" spans="13:13" x14ac:dyDescent="0.4">
      <c r="M932" s="170"/>
    </row>
    <row r="933" spans="13:13" x14ac:dyDescent="0.4">
      <c r="M933" s="170"/>
    </row>
    <row r="934" spans="13:13" x14ac:dyDescent="0.4">
      <c r="M934" s="170"/>
    </row>
    <row r="935" spans="13:13" x14ac:dyDescent="0.4">
      <c r="M935" s="170"/>
    </row>
    <row r="936" spans="13:13" x14ac:dyDescent="0.4">
      <c r="M936" s="170"/>
    </row>
    <row r="937" spans="13:13" x14ac:dyDescent="0.4">
      <c r="M937" s="170"/>
    </row>
    <row r="938" spans="13:13" x14ac:dyDescent="0.4">
      <c r="M938" s="170"/>
    </row>
    <row r="939" spans="13:13" x14ac:dyDescent="0.4">
      <c r="M939" s="170"/>
    </row>
    <row r="940" spans="13:13" x14ac:dyDescent="0.4">
      <c r="M940" s="170"/>
    </row>
    <row r="941" spans="13:13" x14ac:dyDescent="0.4">
      <c r="M941" s="170"/>
    </row>
    <row r="942" spans="13:13" x14ac:dyDescent="0.4">
      <c r="M942" s="170"/>
    </row>
    <row r="943" spans="13:13" x14ac:dyDescent="0.4">
      <c r="M943" s="170"/>
    </row>
    <row r="944" spans="13:13" x14ac:dyDescent="0.4">
      <c r="M944" s="170"/>
    </row>
    <row r="945" spans="13:13" x14ac:dyDescent="0.4">
      <c r="M945" s="170"/>
    </row>
    <row r="946" spans="13:13" x14ac:dyDescent="0.4">
      <c r="M946" s="170"/>
    </row>
    <row r="947" spans="13:13" x14ac:dyDescent="0.4">
      <c r="M947" s="170"/>
    </row>
    <row r="948" spans="13:13" x14ac:dyDescent="0.4">
      <c r="M948" s="170"/>
    </row>
    <row r="949" spans="13:13" x14ac:dyDescent="0.4">
      <c r="M949" s="170"/>
    </row>
    <row r="950" spans="13:13" x14ac:dyDescent="0.4">
      <c r="M950" s="170"/>
    </row>
    <row r="951" spans="13:13" x14ac:dyDescent="0.4">
      <c r="M951" s="170"/>
    </row>
    <row r="952" spans="13:13" x14ac:dyDescent="0.4">
      <c r="M952" s="170"/>
    </row>
    <row r="953" spans="13:13" x14ac:dyDescent="0.4">
      <c r="M953" s="170"/>
    </row>
    <row r="954" spans="13:13" x14ac:dyDescent="0.4">
      <c r="M954" s="170"/>
    </row>
    <row r="955" spans="13:13" x14ac:dyDescent="0.4">
      <c r="M955" s="170"/>
    </row>
    <row r="956" spans="13:13" x14ac:dyDescent="0.4">
      <c r="M956" s="170"/>
    </row>
    <row r="957" spans="13:13" x14ac:dyDescent="0.4">
      <c r="M957" s="170"/>
    </row>
    <row r="958" spans="13:13" x14ac:dyDescent="0.4">
      <c r="M958" s="170"/>
    </row>
    <row r="959" spans="13:13" x14ac:dyDescent="0.4">
      <c r="M959" s="170"/>
    </row>
    <row r="960" spans="13:13" x14ac:dyDescent="0.4">
      <c r="M960" s="170"/>
    </row>
    <row r="961" spans="13:13" x14ac:dyDescent="0.4">
      <c r="M961" s="170"/>
    </row>
    <row r="962" spans="13:13" x14ac:dyDescent="0.4">
      <c r="M962" s="170"/>
    </row>
    <row r="963" spans="13:13" x14ac:dyDescent="0.4">
      <c r="M963" s="170"/>
    </row>
    <row r="964" spans="13:13" x14ac:dyDescent="0.4">
      <c r="M964" s="170"/>
    </row>
    <row r="965" spans="13:13" x14ac:dyDescent="0.4">
      <c r="M965" s="170"/>
    </row>
    <row r="966" spans="13:13" x14ac:dyDescent="0.4">
      <c r="M966" s="170"/>
    </row>
    <row r="967" spans="13:13" x14ac:dyDescent="0.4">
      <c r="M967" s="170"/>
    </row>
    <row r="968" spans="13:13" x14ac:dyDescent="0.4">
      <c r="M968" s="170"/>
    </row>
    <row r="969" spans="13:13" x14ac:dyDescent="0.4">
      <c r="M969" s="170"/>
    </row>
    <row r="970" spans="13:13" x14ac:dyDescent="0.4">
      <c r="M970" s="170"/>
    </row>
    <row r="971" spans="13:13" x14ac:dyDescent="0.4">
      <c r="M971" s="170"/>
    </row>
    <row r="972" spans="13:13" x14ac:dyDescent="0.4">
      <c r="M972" s="170"/>
    </row>
    <row r="973" spans="13:13" x14ac:dyDescent="0.4">
      <c r="M973" s="170"/>
    </row>
    <row r="974" spans="13:13" x14ac:dyDescent="0.4">
      <c r="M974" s="170"/>
    </row>
    <row r="975" spans="13:13" x14ac:dyDescent="0.4">
      <c r="M975" s="170"/>
    </row>
    <row r="976" spans="13:13" x14ac:dyDescent="0.4">
      <c r="M976" s="170"/>
    </row>
    <row r="977" spans="13:13" x14ac:dyDescent="0.4">
      <c r="M977" s="170"/>
    </row>
    <row r="978" spans="13:13" x14ac:dyDescent="0.4">
      <c r="M978" s="170"/>
    </row>
    <row r="979" spans="13:13" x14ac:dyDescent="0.4">
      <c r="M979" s="170"/>
    </row>
    <row r="980" spans="13:13" x14ac:dyDescent="0.4">
      <c r="M980" s="170"/>
    </row>
    <row r="981" spans="13:13" x14ac:dyDescent="0.4">
      <c r="M981" s="170"/>
    </row>
    <row r="982" spans="13:13" x14ac:dyDescent="0.4">
      <c r="M982" s="170"/>
    </row>
    <row r="983" spans="13:13" x14ac:dyDescent="0.4">
      <c r="M983" s="170"/>
    </row>
    <row r="984" spans="13:13" x14ac:dyDescent="0.4">
      <c r="M984" s="170"/>
    </row>
    <row r="985" spans="13:13" x14ac:dyDescent="0.4">
      <c r="M985" s="170"/>
    </row>
    <row r="986" spans="13:13" x14ac:dyDescent="0.4">
      <c r="M986" s="170"/>
    </row>
    <row r="987" spans="13:13" x14ac:dyDescent="0.4">
      <c r="M987" s="170"/>
    </row>
    <row r="988" spans="13:13" x14ac:dyDescent="0.4">
      <c r="M988" s="170"/>
    </row>
    <row r="989" spans="13:13" x14ac:dyDescent="0.4">
      <c r="M989" s="170"/>
    </row>
    <row r="990" spans="13:13" x14ac:dyDescent="0.4">
      <c r="M990" s="170"/>
    </row>
    <row r="991" spans="13:13" x14ac:dyDescent="0.4">
      <c r="M991" s="170"/>
    </row>
    <row r="992" spans="13:13" x14ac:dyDescent="0.4">
      <c r="M992" s="170"/>
    </row>
    <row r="993" spans="13:13" x14ac:dyDescent="0.4">
      <c r="M993" s="170"/>
    </row>
    <row r="994" spans="13:13" x14ac:dyDescent="0.4">
      <c r="M994" s="170"/>
    </row>
    <row r="995" spans="13:13" x14ac:dyDescent="0.4">
      <c r="M995" s="170"/>
    </row>
    <row r="996" spans="13:13" x14ac:dyDescent="0.4">
      <c r="M996" s="170"/>
    </row>
    <row r="997" spans="13:13" x14ac:dyDescent="0.4">
      <c r="M997" s="170"/>
    </row>
    <row r="998" spans="13:13" x14ac:dyDescent="0.4">
      <c r="M998" s="170"/>
    </row>
    <row r="999" spans="13:13" x14ac:dyDescent="0.4">
      <c r="M999" s="170"/>
    </row>
    <row r="1000" spans="13:13" x14ac:dyDescent="0.4">
      <c r="M1000" s="170"/>
    </row>
    <row r="1001" spans="13:13" x14ac:dyDescent="0.4">
      <c r="M1001" s="170"/>
    </row>
    <row r="1002" spans="13:13" x14ac:dyDescent="0.4">
      <c r="M1002" s="170"/>
    </row>
    <row r="1003" spans="13:13" x14ac:dyDescent="0.4">
      <c r="M1003" s="170"/>
    </row>
    <row r="1004" spans="13:13" x14ac:dyDescent="0.4">
      <c r="M1004" s="170"/>
    </row>
    <row r="1005" spans="13:13" x14ac:dyDescent="0.4">
      <c r="M1005" s="170"/>
    </row>
    <row r="1006" spans="13:13" x14ac:dyDescent="0.4">
      <c r="M1006" s="170"/>
    </row>
    <row r="1007" spans="13:13" x14ac:dyDescent="0.4">
      <c r="M1007" s="170"/>
    </row>
    <row r="1008" spans="13:13" x14ac:dyDescent="0.4">
      <c r="M1008" s="170"/>
    </row>
    <row r="1009" spans="13:13" x14ac:dyDescent="0.4">
      <c r="M1009" s="170"/>
    </row>
    <row r="1010" spans="13:13" x14ac:dyDescent="0.4">
      <c r="M1010" s="170"/>
    </row>
    <row r="1011" spans="13:13" x14ac:dyDescent="0.4">
      <c r="M1011" s="170"/>
    </row>
    <row r="1012" spans="13:13" x14ac:dyDescent="0.4">
      <c r="M1012" s="170"/>
    </row>
    <row r="1013" spans="13:13" x14ac:dyDescent="0.4">
      <c r="M1013" s="170"/>
    </row>
    <row r="1014" spans="13:13" x14ac:dyDescent="0.4">
      <c r="M1014" s="170"/>
    </row>
    <row r="1015" spans="13:13" x14ac:dyDescent="0.4">
      <c r="M1015" s="170"/>
    </row>
    <row r="1016" spans="13:13" x14ac:dyDescent="0.4">
      <c r="M1016" s="170"/>
    </row>
    <row r="1017" spans="13:13" x14ac:dyDescent="0.4">
      <c r="M1017" s="170"/>
    </row>
    <row r="1018" spans="13:13" x14ac:dyDescent="0.4">
      <c r="M1018" s="170"/>
    </row>
    <row r="1019" spans="13:13" x14ac:dyDescent="0.4">
      <c r="M1019" s="170"/>
    </row>
    <row r="1020" spans="13:13" x14ac:dyDescent="0.4">
      <c r="M1020" s="170"/>
    </row>
    <row r="1021" spans="13:13" x14ac:dyDescent="0.4">
      <c r="M1021" s="170"/>
    </row>
    <row r="1022" spans="13:13" x14ac:dyDescent="0.4">
      <c r="M1022" s="170"/>
    </row>
    <row r="1023" spans="13:13" x14ac:dyDescent="0.4">
      <c r="M1023" s="170"/>
    </row>
    <row r="1024" spans="13:13" x14ac:dyDescent="0.4">
      <c r="M1024" s="170"/>
    </row>
    <row r="1025" spans="13:13" x14ac:dyDescent="0.4">
      <c r="M1025" s="170"/>
    </row>
    <row r="1026" spans="13:13" x14ac:dyDescent="0.4">
      <c r="M1026" s="170"/>
    </row>
    <row r="1027" spans="13:13" x14ac:dyDescent="0.4">
      <c r="M1027" s="170"/>
    </row>
    <row r="1028" spans="13:13" x14ac:dyDescent="0.4">
      <c r="M1028" s="170"/>
    </row>
    <row r="1029" spans="13:13" x14ac:dyDescent="0.4">
      <c r="M1029" s="170"/>
    </row>
    <row r="1030" spans="13:13" x14ac:dyDescent="0.4">
      <c r="M1030" s="170"/>
    </row>
    <row r="1031" spans="13:13" x14ac:dyDescent="0.4">
      <c r="M1031" s="170"/>
    </row>
    <row r="1032" spans="13:13" x14ac:dyDescent="0.4">
      <c r="M1032" s="170"/>
    </row>
    <row r="1033" spans="13:13" x14ac:dyDescent="0.4">
      <c r="M1033" s="170"/>
    </row>
    <row r="1034" spans="13:13" x14ac:dyDescent="0.4">
      <c r="M1034" s="170"/>
    </row>
    <row r="1035" spans="13:13" x14ac:dyDescent="0.4">
      <c r="M1035" s="170"/>
    </row>
    <row r="1036" spans="13:13" x14ac:dyDescent="0.4">
      <c r="M1036" s="170"/>
    </row>
    <row r="1037" spans="13:13" x14ac:dyDescent="0.4">
      <c r="M1037" s="170"/>
    </row>
    <row r="1038" spans="13:13" x14ac:dyDescent="0.4">
      <c r="M1038" s="170"/>
    </row>
    <row r="1039" spans="13:13" x14ac:dyDescent="0.4">
      <c r="M1039" s="170"/>
    </row>
  </sheetData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Rem &amp; biblio</vt:lpstr>
      <vt:lpstr>Simul 1</vt:lpstr>
      <vt:lpstr>Mollier S1</vt:lpstr>
      <vt:lpstr>Simul 2</vt:lpstr>
      <vt:lpstr>Simul 3</vt:lpstr>
      <vt:lpstr>Mollier S3</vt:lpstr>
      <vt:lpstr>Schéma</vt:lpstr>
      <vt:lpstr>Air humide</vt:lpstr>
      <vt:lpstr>'Simul 1'!Impression_des_titres</vt:lpstr>
      <vt:lpstr>'Simul 2'!Impression_des_titres</vt:lpstr>
      <vt:lpstr>'Mollier S1'!Zone_d_impression</vt:lpstr>
      <vt:lpstr>'Mollier S3'!Zone_d_impression</vt:lpstr>
      <vt:lpstr>'Rem &amp; biblio'!Zone_d_impression</vt:lpstr>
      <vt:lpstr>Schéma!Zone_d_impression</vt:lpstr>
      <vt:lpstr>'Simul 1'!Zone_d_impression</vt:lpstr>
      <vt:lpstr>'Simul 2'!Zone_d_impression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Gilles VALOT</dc:creator>
  <cp:lastModifiedBy>Gilles VALOT</cp:lastModifiedBy>
  <cp:lastPrinted>2024-11-26T10:36:25Z</cp:lastPrinted>
  <dcterms:created xsi:type="dcterms:W3CDTF">2024-09-17T09:46:54Z</dcterms:created>
  <dcterms:modified xsi:type="dcterms:W3CDTF">2024-11-26T10:58:58Z</dcterms:modified>
</cp:coreProperties>
</file>