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4ca1d963a7df93/Outils/"/>
    </mc:Choice>
  </mc:AlternateContent>
  <xr:revisionPtr revIDLastSave="6" documentId="8_{4EEF52F1-D507-46AE-827C-1E9B36349BDF}" xr6:coauthVersionLast="47" xr6:coauthVersionMax="47" xr10:uidLastSave="{524D4537-D6C1-4676-B149-7E77C6EE318F}"/>
  <bookViews>
    <workbookView xWindow="-108" yWindow="-108" windowWidth="23256" windowHeight="12576" tabRatio="521" xr2:uid="{00000000-000D-0000-FFFF-FFFF00000000}"/>
  </bookViews>
  <sheets>
    <sheet name="Melange" sheetId="1" r:id="rId1"/>
    <sheet name="LV" sheetId="8" r:id="rId2"/>
    <sheet name="T1tps gaz" sheetId="9" r:id="rId3"/>
    <sheet name="Formules" sheetId="4" r:id="rId4"/>
    <sheet name="Diagramme psychro -10 à +40°C" sheetId="7" r:id="rId5"/>
    <sheet name="Air humide" sheetId="2" r:id="rId6"/>
    <sheet name="Vapeur" sheetId="10" r:id="rId7"/>
  </sheets>
  <externalReferences>
    <externalReference r:id="rId8"/>
  </externalReferences>
  <definedNames>
    <definedName name="anscount" hidden="1">1</definedName>
    <definedName name="base">[1]Relevés!$A$10:$AT$71</definedName>
    <definedName name="cta">'Diagramme psychro -10 à +40°C'!$X$5:$X$66</definedName>
    <definedName name="f">'Diagramme psychro -10 à +40°C'!$V$73:$AE$73</definedName>
    <definedName name="h">'Diagramme psychro -10 à +40°C'!$AX$73:$BI$73</definedName>
    <definedName name="t">'Diagramme psychro -10 à +40°C'!$U$74:$U$99</definedName>
    <definedName name="v">'Diagramme psychro -10 à +40°C'!$AF$73:$AW$73</definedName>
    <definedName name="_xlnm.Print_Area" localSheetId="4">'Diagramme psychro -10 à +40°C'!$A$11:$N$54</definedName>
    <definedName name="_xlnm.Print_Area" localSheetId="3">Formules!$B$2:$K$100</definedName>
    <definedName name="_xlnm.Print_Area" localSheetId="1">LV!$A$49:$P$184</definedName>
    <definedName name="_xlnm.Print_Area" localSheetId="0">Formules!$B$2:$K$100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0" l="1"/>
  <c r="L7" i="10" s="1"/>
  <c r="L9" i="10" s="1"/>
  <c r="L11" i="10" s="1"/>
  <c r="L13" i="10" s="1"/>
  <c r="E7" i="10"/>
  <c r="E9" i="10" s="1"/>
  <c r="P7" i="9"/>
  <c r="P11" i="9" s="1"/>
  <c r="H6" i="9"/>
  <c r="I13" i="9"/>
  <c r="J13" i="9" s="1"/>
  <c r="G39" i="9"/>
  <c r="I39" i="9" s="1"/>
  <c r="C20" i="9"/>
  <c r="F20" i="9"/>
  <c r="C5" i="9"/>
  <c r="H3" i="9" s="1"/>
  <c r="G30" i="9"/>
  <c r="I30" i="9" s="1"/>
  <c r="G33" i="9" s="1"/>
  <c r="G29" i="9"/>
  <c r="I29" i="9" s="1"/>
  <c r="G16" i="9"/>
  <c r="I16" i="9" s="1"/>
  <c r="F16" i="9"/>
  <c r="H13" i="9"/>
  <c r="D13" i="9"/>
  <c r="D14" i="9" s="1"/>
  <c r="I22" i="1"/>
  <c r="I9" i="1"/>
  <c r="F12" i="8"/>
  <c r="G38" i="1"/>
  <c r="I21" i="8"/>
  <c r="G24" i="8" s="1"/>
  <c r="I24" i="8" s="1"/>
  <c r="G31" i="8"/>
  <c r="I31" i="8" s="1"/>
  <c r="G34" i="8" s="1"/>
  <c r="I22" i="8"/>
  <c r="G25" i="8" s="1"/>
  <c r="G22" i="8"/>
  <c r="G21" i="8"/>
  <c r="I12" i="8"/>
  <c r="G12" i="8"/>
  <c r="D12" i="8" s="1"/>
  <c r="E12" i="8" s="1"/>
  <c r="I9" i="8"/>
  <c r="J9" i="8" s="1"/>
  <c r="H9" i="8"/>
  <c r="D9" i="8"/>
  <c r="E9" i="8" s="1"/>
  <c r="C70" i="1"/>
  <c r="C71" i="1" s="1"/>
  <c r="C72" i="1" s="1"/>
  <c r="I38" i="1"/>
  <c r="G6" i="7"/>
  <c r="G7" i="7" s="1"/>
  <c r="G9" i="7" s="1"/>
  <c r="V74" i="7"/>
  <c r="J3" i="9" l="1"/>
  <c r="H4" i="9"/>
  <c r="H5" i="9" s="1"/>
  <c r="F17" i="8"/>
  <c r="K12" i="8"/>
  <c r="K17" i="8" s="1"/>
  <c r="D13" i="8"/>
  <c r="D10" i="8"/>
  <c r="H12" i="8"/>
  <c r="H17" i="8" s="1"/>
  <c r="K16" i="9"/>
  <c r="P6" i="9"/>
  <c r="L15" i="10"/>
  <c r="L17" i="10"/>
  <c r="L19" i="10"/>
  <c r="E11" i="10"/>
  <c r="E13" i="10" s="1"/>
  <c r="H16" i="9"/>
  <c r="K13" i="9"/>
  <c r="L13" i="9" s="1"/>
  <c r="F18" i="9"/>
  <c r="G32" i="9"/>
  <c r="I32" i="9" s="1"/>
  <c r="I35" i="9"/>
  <c r="G31" i="9" s="1"/>
  <c r="I31" i="9" s="1"/>
  <c r="G34" i="9" s="1"/>
  <c r="E13" i="9"/>
  <c r="F25" i="9"/>
  <c r="D16" i="9"/>
  <c r="K9" i="8"/>
  <c r="L9" i="8" s="1"/>
  <c r="J12" i="8"/>
  <c r="I30" i="8"/>
  <c r="G30" i="8"/>
  <c r="G17" i="8"/>
  <c r="G39" i="8" s="1"/>
  <c r="I39" i="8" s="1"/>
  <c r="G42" i="8" s="1"/>
  <c r="I42" i="8" s="1"/>
  <c r="I27" i="8"/>
  <c r="G8" i="7"/>
  <c r="C73" i="1"/>
  <c r="U75" i="7"/>
  <c r="U76" i="7" s="1"/>
  <c r="BI74" i="7"/>
  <c r="BH74" i="7"/>
  <c r="BG74" i="7"/>
  <c r="BF74" i="7"/>
  <c r="BE74" i="7"/>
  <c r="BD74" i="7"/>
  <c r="BC74" i="7"/>
  <c r="BB74" i="7"/>
  <c r="BA74" i="7"/>
  <c r="AZ74" i="7"/>
  <c r="AY74" i="7"/>
  <c r="AX74" i="7"/>
  <c r="AF74" i="7"/>
  <c r="AH73" i="7"/>
  <c r="AH74" i="7" s="1"/>
  <c r="AG73" i="7"/>
  <c r="AG74" i="7" s="1"/>
  <c r="W73" i="7"/>
  <c r="BA71" i="7"/>
  <c r="AZ71" i="7"/>
  <c r="BA70" i="7"/>
  <c r="AZ70" i="7"/>
  <c r="F84" i="4"/>
  <c r="F69" i="4"/>
  <c r="F31" i="4"/>
  <c r="E6" i="4"/>
  <c r="H75" i="4" s="1"/>
  <c r="K9" i="1"/>
  <c r="I13" i="1"/>
  <c r="C176" i="2"/>
  <c r="G39" i="1"/>
  <c r="I39" i="1" s="1"/>
  <c r="G42" i="1" s="1"/>
  <c r="C27" i="2"/>
  <c r="I722" i="2"/>
  <c r="E722" i="2" s="1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I682" i="2"/>
  <c r="E682" i="2" s="1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J642" i="2"/>
  <c r="I642" i="2"/>
  <c r="E642" i="2" s="1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I602" i="2"/>
  <c r="J602" i="2" s="1"/>
  <c r="E602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I562" i="2"/>
  <c r="E562" i="2" s="1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I522" i="2"/>
  <c r="J522" i="2" s="1"/>
  <c r="E522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I482" i="2"/>
  <c r="J482" i="2" s="1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I442" i="2"/>
  <c r="E442" i="2" s="1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C402" i="2"/>
  <c r="I402" i="2" s="1"/>
  <c r="B402" i="2"/>
  <c r="C401" i="2"/>
  <c r="B401" i="2"/>
  <c r="C400" i="2"/>
  <c r="B400" i="2"/>
  <c r="C399" i="2"/>
  <c r="B399" i="2"/>
  <c r="C398" i="2"/>
  <c r="B398" i="2"/>
  <c r="C397" i="2"/>
  <c r="B397" i="2"/>
  <c r="C396" i="2"/>
  <c r="B396" i="2"/>
  <c r="C395" i="2"/>
  <c r="B395" i="2"/>
  <c r="C394" i="2"/>
  <c r="B394" i="2"/>
  <c r="C393" i="2"/>
  <c r="B393" i="2"/>
  <c r="C392" i="2"/>
  <c r="B392" i="2"/>
  <c r="C391" i="2"/>
  <c r="B391" i="2"/>
  <c r="C390" i="2"/>
  <c r="B390" i="2"/>
  <c r="C389" i="2"/>
  <c r="B389" i="2"/>
  <c r="C388" i="2"/>
  <c r="B388" i="2"/>
  <c r="C387" i="2"/>
  <c r="B387" i="2"/>
  <c r="C386" i="2"/>
  <c r="B386" i="2"/>
  <c r="C385" i="2"/>
  <c r="B385" i="2"/>
  <c r="C384" i="2"/>
  <c r="B384" i="2"/>
  <c r="C383" i="2"/>
  <c r="B383" i="2"/>
  <c r="C382" i="2"/>
  <c r="I382" i="2" s="1"/>
  <c r="B382" i="2"/>
  <c r="C381" i="2"/>
  <c r="B381" i="2"/>
  <c r="C380" i="2"/>
  <c r="B380" i="2"/>
  <c r="C379" i="2"/>
  <c r="B379" i="2"/>
  <c r="C378" i="2"/>
  <c r="B378" i="2"/>
  <c r="C377" i="2"/>
  <c r="B377" i="2"/>
  <c r="C376" i="2"/>
  <c r="B376" i="2"/>
  <c r="C375" i="2"/>
  <c r="B375" i="2"/>
  <c r="C374" i="2"/>
  <c r="B374" i="2"/>
  <c r="C373" i="2"/>
  <c r="B373" i="2"/>
  <c r="C372" i="2"/>
  <c r="B372" i="2"/>
  <c r="C371" i="2"/>
  <c r="B371" i="2"/>
  <c r="C370" i="2"/>
  <c r="B370" i="2"/>
  <c r="C369" i="2"/>
  <c r="B369" i="2"/>
  <c r="C368" i="2"/>
  <c r="B368" i="2"/>
  <c r="C367" i="2"/>
  <c r="B367" i="2"/>
  <c r="C366" i="2"/>
  <c r="B366" i="2"/>
  <c r="C365" i="2"/>
  <c r="B365" i="2"/>
  <c r="C364" i="2"/>
  <c r="B364" i="2"/>
  <c r="C363" i="2"/>
  <c r="B363" i="2"/>
  <c r="C362" i="2"/>
  <c r="I362" i="2" s="1"/>
  <c r="B362" i="2"/>
  <c r="C361" i="2"/>
  <c r="B361" i="2"/>
  <c r="C360" i="2"/>
  <c r="B360" i="2"/>
  <c r="C359" i="2"/>
  <c r="B359" i="2"/>
  <c r="C358" i="2"/>
  <c r="B358" i="2"/>
  <c r="C357" i="2"/>
  <c r="B357" i="2"/>
  <c r="C356" i="2"/>
  <c r="B356" i="2"/>
  <c r="C355" i="2"/>
  <c r="B355" i="2"/>
  <c r="C354" i="2"/>
  <c r="B354" i="2"/>
  <c r="C353" i="2"/>
  <c r="B353" i="2"/>
  <c r="C352" i="2"/>
  <c r="B352" i="2"/>
  <c r="C351" i="2"/>
  <c r="B351" i="2"/>
  <c r="C350" i="2"/>
  <c r="B350" i="2"/>
  <c r="C349" i="2"/>
  <c r="B349" i="2"/>
  <c r="C348" i="2"/>
  <c r="B348" i="2"/>
  <c r="C347" i="2"/>
  <c r="B347" i="2"/>
  <c r="C346" i="2"/>
  <c r="B346" i="2"/>
  <c r="C345" i="2"/>
  <c r="B345" i="2"/>
  <c r="C344" i="2"/>
  <c r="B344" i="2"/>
  <c r="C343" i="2"/>
  <c r="B343" i="2"/>
  <c r="C342" i="2"/>
  <c r="I342" i="2" s="1"/>
  <c r="J342" i="2" s="1"/>
  <c r="B342" i="2"/>
  <c r="C341" i="2"/>
  <c r="B341" i="2"/>
  <c r="C340" i="2"/>
  <c r="B340" i="2"/>
  <c r="C339" i="2"/>
  <c r="B339" i="2"/>
  <c r="C338" i="2"/>
  <c r="B338" i="2"/>
  <c r="C337" i="2"/>
  <c r="B337" i="2"/>
  <c r="C336" i="2"/>
  <c r="B336" i="2"/>
  <c r="C335" i="2"/>
  <c r="B335" i="2"/>
  <c r="C334" i="2"/>
  <c r="B334" i="2"/>
  <c r="C333" i="2"/>
  <c r="B333" i="2"/>
  <c r="C332" i="2"/>
  <c r="B332" i="2"/>
  <c r="C331" i="2"/>
  <c r="B331" i="2"/>
  <c r="C330" i="2"/>
  <c r="B330" i="2"/>
  <c r="C329" i="2"/>
  <c r="B329" i="2"/>
  <c r="C328" i="2"/>
  <c r="B328" i="2"/>
  <c r="C327" i="2"/>
  <c r="B327" i="2"/>
  <c r="C326" i="2"/>
  <c r="B326" i="2"/>
  <c r="C325" i="2"/>
  <c r="B325" i="2"/>
  <c r="C324" i="2"/>
  <c r="B324" i="2"/>
  <c r="C323" i="2"/>
  <c r="B323" i="2"/>
  <c r="C322" i="2"/>
  <c r="I322" i="2" s="1"/>
  <c r="B322" i="2"/>
  <c r="C321" i="2"/>
  <c r="B321" i="2"/>
  <c r="C320" i="2"/>
  <c r="B320" i="2"/>
  <c r="C319" i="2"/>
  <c r="B319" i="2"/>
  <c r="C318" i="2"/>
  <c r="B318" i="2"/>
  <c r="C317" i="2"/>
  <c r="B317" i="2"/>
  <c r="C316" i="2"/>
  <c r="B316" i="2"/>
  <c r="C315" i="2"/>
  <c r="B315" i="2"/>
  <c r="C314" i="2"/>
  <c r="B314" i="2"/>
  <c r="C313" i="2"/>
  <c r="B313" i="2"/>
  <c r="C312" i="2"/>
  <c r="B312" i="2"/>
  <c r="C311" i="2"/>
  <c r="B311" i="2"/>
  <c r="C310" i="2"/>
  <c r="B310" i="2"/>
  <c r="C309" i="2"/>
  <c r="B309" i="2"/>
  <c r="C308" i="2"/>
  <c r="B308" i="2"/>
  <c r="C307" i="2"/>
  <c r="B307" i="2"/>
  <c r="C306" i="2"/>
  <c r="B306" i="2"/>
  <c r="C305" i="2"/>
  <c r="B305" i="2"/>
  <c r="C304" i="2"/>
  <c r="B304" i="2"/>
  <c r="C303" i="2"/>
  <c r="B303" i="2"/>
  <c r="C302" i="2"/>
  <c r="I302" i="2" s="1"/>
  <c r="B302" i="2"/>
  <c r="C301" i="2"/>
  <c r="B301" i="2"/>
  <c r="C300" i="2"/>
  <c r="B300" i="2"/>
  <c r="C299" i="2"/>
  <c r="B299" i="2"/>
  <c r="C298" i="2"/>
  <c r="B298" i="2"/>
  <c r="C297" i="2"/>
  <c r="B297" i="2"/>
  <c r="C296" i="2"/>
  <c r="B296" i="2"/>
  <c r="C295" i="2"/>
  <c r="B295" i="2"/>
  <c r="C294" i="2"/>
  <c r="B294" i="2"/>
  <c r="C293" i="2"/>
  <c r="B293" i="2"/>
  <c r="C292" i="2"/>
  <c r="B292" i="2"/>
  <c r="C291" i="2"/>
  <c r="B291" i="2"/>
  <c r="C290" i="2"/>
  <c r="B290" i="2"/>
  <c r="C289" i="2"/>
  <c r="B289" i="2"/>
  <c r="C288" i="2"/>
  <c r="B288" i="2"/>
  <c r="C287" i="2"/>
  <c r="B287" i="2"/>
  <c r="C286" i="2"/>
  <c r="B286" i="2"/>
  <c r="C285" i="2"/>
  <c r="B285" i="2"/>
  <c r="C284" i="2"/>
  <c r="B284" i="2"/>
  <c r="C283" i="2"/>
  <c r="B283" i="2"/>
  <c r="C282" i="2"/>
  <c r="I282" i="2" s="1"/>
  <c r="B282" i="2"/>
  <c r="C281" i="2"/>
  <c r="B281" i="2"/>
  <c r="C280" i="2"/>
  <c r="B280" i="2"/>
  <c r="C279" i="2"/>
  <c r="B279" i="2"/>
  <c r="C278" i="2"/>
  <c r="B278" i="2"/>
  <c r="C277" i="2"/>
  <c r="B277" i="2"/>
  <c r="C276" i="2"/>
  <c r="B276" i="2"/>
  <c r="C275" i="2"/>
  <c r="B275" i="2"/>
  <c r="C274" i="2"/>
  <c r="B274" i="2"/>
  <c r="C273" i="2"/>
  <c r="B273" i="2"/>
  <c r="C272" i="2"/>
  <c r="B272" i="2"/>
  <c r="C271" i="2"/>
  <c r="B271" i="2"/>
  <c r="C270" i="2"/>
  <c r="B270" i="2"/>
  <c r="C269" i="2"/>
  <c r="B269" i="2"/>
  <c r="C268" i="2"/>
  <c r="B268" i="2"/>
  <c r="C267" i="2"/>
  <c r="B267" i="2"/>
  <c r="C266" i="2"/>
  <c r="B266" i="2"/>
  <c r="C265" i="2"/>
  <c r="B265" i="2"/>
  <c r="C264" i="2"/>
  <c r="B264" i="2"/>
  <c r="C263" i="2"/>
  <c r="B263" i="2"/>
  <c r="C262" i="2"/>
  <c r="I262" i="2" s="1"/>
  <c r="B262" i="2"/>
  <c r="C261" i="2"/>
  <c r="B261" i="2"/>
  <c r="C260" i="2"/>
  <c r="B260" i="2"/>
  <c r="C259" i="2"/>
  <c r="B259" i="2"/>
  <c r="C258" i="2"/>
  <c r="B258" i="2"/>
  <c r="C257" i="2"/>
  <c r="B257" i="2"/>
  <c r="C256" i="2"/>
  <c r="B256" i="2"/>
  <c r="C255" i="2"/>
  <c r="B255" i="2"/>
  <c r="C254" i="2"/>
  <c r="B254" i="2"/>
  <c r="C253" i="2"/>
  <c r="B253" i="2"/>
  <c r="C252" i="2"/>
  <c r="B252" i="2"/>
  <c r="C251" i="2"/>
  <c r="B251" i="2"/>
  <c r="C250" i="2"/>
  <c r="B250" i="2"/>
  <c r="C249" i="2"/>
  <c r="B249" i="2"/>
  <c r="C248" i="2"/>
  <c r="B248" i="2"/>
  <c r="C247" i="2"/>
  <c r="B247" i="2"/>
  <c r="C246" i="2"/>
  <c r="B246" i="2"/>
  <c r="C245" i="2"/>
  <c r="B245" i="2"/>
  <c r="C244" i="2"/>
  <c r="B244" i="2"/>
  <c r="C243" i="2"/>
  <c r="B243" i="2"/>
  <c r="C242" i="2"/>
  <c r="I242" i="2" s="1"/>
  <c r="B242" i="2"/>
  <c r="C241" i="2"/>
  <c r="B241" i="2"/>
  <c r="C240" i="2"/>
  <c r="B240" i="2"/>
  <c r="C239" i="2"/>
  <c r="B239" i="2"/>
  <c r="C238" i="2"/>
  <c r="B238" i="2"/>
  <c r="C237" i="2"/>
  <c r="B237" i="2"/>
  <c r="C236" i="2"/>
  <c r="B236" i="2"/>
  <c r="C235" i="2"/>
  <c r="B235" i="2"/>
  <c r="C234" i="2"/>
  <c r="B234" i="2"/>
  <c r="C233" i="2"/>
  <c r="B233" i="2"/>
  <c r="C232" i="2"/>
  <c r="I232" i="2" s="1"/>
  <c r="B232" i="2"/>
  <c r="C231" i="2"/>
  <c r="B231" i="2"/>
  <c r="C230" i="2"/>
  <c r="B230" i="2"/>
  <c r="C229" i="2"/>
  <c r="B229" i="2"/>
  <c r="C228" i="2"/>
  <c r="B228" i="2"/>
  <c r="C227" i="2"/>
  <c r="B227" i="2"/>
  <c r="C226" i="2"/>
  <c r="B226" i="2"/>
  <c r="C225" i="2"/>
  <c r="B225" i="2"/>
  <c r="C224" i="2"/>
  <c r="B224" i="2"/>
  <c r="C223" i="2"/>
  <c r="B223" i="2"/>
  <c r="C222" i="2"/>
  <c r="I222" i="2" s="1"/>
  <c r="B222" i="2"/>
  <c r="C221" i="2"/>
  <c r="B221" i="2"/>
  <c r="C220" i="2"/>
  <c r="B220" i="2"/>
  <c r="C219" i="2"/>
  <c r="B219" i="2"/>
  <c r="C218" i="2"/>
  <c r="B218" i="2"/>
  <c r="C217" i="2"/>
  <c r="B217" i="2"/>
  <c r="C216" i="2"/>
  <c r="B216" i="2"/>
  <c r="C215" i="2"/>
  <c r="B215" i="2"/>
  <c r="C214" i="2"/>
  <c r="B214" i="2"/>
  <c r="C213" i="2"/>
  <c r="B213" i="2"/>
  <c r="C212" i="2"/>
  <c r="I212" i="2" s="1"/>
  <c r="B212" i="2"/>
  <c r="C211" i="2"/>
  <c r="B211" i="2"/>
  <c r="C210" i="2"/>
  <c r="B210" i="2"/>
  <c r="C209" i="2"/>
  <c r="B209" i="2"/>
  <c r="C208" i="2"/>
  <c r="B208" i="2"/>
  <c r="C207" i="2"/>
  <c r="B207" i="2"/>
  <c r="C206" i="2"/>
  <c r="B206" i="2"/>
  <c r="C205" i="2"/>
  <c r="B205" i="2"/>
  <c r="C204" i="2"/>
  <c r="B204" i="2"/>
  <c r="C203" i="2"/>
  <c r="B203" i="2"/>
  <c r="D202" i="2"/>
  <c r="B202" i="2"/>
  <c r="C201" i="2"/>
  <c r="I201" i="2" s="1"/>
  <c r="B201" i="2"/>
  <c r="C200" i="2"/>
  <c r="I200" i="2" s="1"/>
  <c r="B200" i="2"/>
  <c r="C199" i="2"/>
  <c r="D199" i="2" s="1"/>
  <c r="B199" i="2"/>
  <c r="C198" i="2"/>
  <c r="D198" i="2" s="1"/>
  <c r="B198" i="2"/>
  <c r="I197" i="2"/>
  <c r="E197" i="2" s="1"/>
  <c r="H197" i="2" s="1"/>
  <c r="C197" i="2"/>
  <c r="D197" i="2" s="1"/>
  <c r="B197" i="2"/>
  <c r="C196" i="2"/>
  <c r="D196" i="2" s="1"/>
  <c r="B196" i="2"/>
  <c r="I195" i="2"/>
  <c r="J195" i="2" s="1"/>
  <c r="E195" i="2"/>
  <c r="H195" i="2" s="1"/>
  <c r="C195" i="2"/>
  <c r="D195" i="2" s="1"/>
  <c r="B195" i="2"/>
  <c r="I194" i="2"/>
  <c r="J194" i="2" s="1"/>
  <c r="D194" i="2"/>
  <c r="C194" i="2"/>
  <c r="B194" i="2"/>
  <c r="C193" i="2"/>
  <c r="I193" i="2" s="1"/>
  <c r="B193" i="2"/>
  <c r="C192" i="2"/>
  <c r="I192" i="2" s="1"/>
  <c r="B192" i="2"/>
  <c r="C191" i="2"/>
  <c r="D191" i="2" s="1"/>
  <c r="B191" i="2"/>
  <c r="C190" i="2"/>
  <c r="D190" i="2" s="1"/>
  <c r="B190" i="2"/>
  <c r="I189" i="2"/>
  <c r="E189" i="2" s="1"/>
  <c r="H189" i="2" s="1"/>
  <c r="C189" i="2"/>
  <c r="D189" i="2" s="1"/>
  <c r="B189" i="2"/>
  <c r="I188" i="2"/>
  <c r="E188" i="2" s="1"/>
  <c r="H188" i="2" s="1"/>
  <c r="C188" i="2"/>
  <c r="D188" i="2" s="1"/>
  <c r="B188" i="2"/>
  <c r="C187" i="2"/>
  <c r="D187" i="2" s="1"/>
  <c r="B187" i="2"/>
  <c r="I186" i="2"/>
  <c r="J186" i="2" s="1"/>
  <c r="E186" i="2"/>
  <c r="H186" i="2" s="1"/>
  <c r="C186" i="2"/>
  <c r="D186" i="2" s="1"/>
  <c r="B186" i="2"/>
  <c r="C185" i="2"/>
  <c r="I185" i="2" s="1"/>
  <c r="B185" i="2"/>
  <c r="C184" i="2"/>
  <c r="I184" i="2" s="1"/>
  <c r="B184" i="2"/>
  <c r="C183" i="2"/>
  <c r="D183" i="2" s="1"/>
  <c r="B183" i="2"/>
  <c r="C182" i="2"/>
  <c r="D182" i="2" s="1"/>
  <c r="B182" i="2"/>
  <c r="C181" i="2"/>
  <c r="D181" i="2" s="1"/>
  <c r="B181" i="2"/>
  <c r="C180" i="2"/>
  <c r="D180" i="2" s="1"/>
  <c r="B180" i="2"/>
  <c r="C179" i="2"/>
  <c r="D179" i="2" s="1"/>
  <c r="B179" i="2"/>
  <c r="I178" i="2"/>
  <c r="J178" i="2" s="1"/>
  <c r="E178" i="2"/>
  <c r="H178" i="2" s="1"/>
  <c r="C178" i="2"/>
  <c r="D178" i="2" s="1"/>
  <c r="B178" i="2"/>
  <c r="C177" i="2"/>
  <c r="I177" i="2" s="1"/>
  <c r="B177" i="2"/>
  <c r="I176" i="2"/>
  <c r="B176" i="2"/>
  <c r="C175" i="2"/>
  <c r="D175" i="2" s="1"/>
  <c r="B175" i="2"/>
  <c r="C174" i="2"/>
  <c r="D174" i="2" s="1"/>
  <c r="B174" i="2"/>
  <c r="C173" i="2"/>
  <c r="D173" i="2" s="1"/>
  <c r="B173" i="2"/>
  <c r="C172" i="2"/>
  <c r="D172" i="2" s="1"/>
  <c r="B172" i="2"/>
  <c r="I171" i="2"/>
  <c r="J171" i="2" s="1"/>
  <c r="C171" i="2"/>
  <c r="D171" i="2" s="1"/>
  <c r="B171" i="2"/>
  <c r="C170" i="2"/>
  <c r="I170" i="2" s="1"/>
  <c r="B170" i="2"/>
  <c r="C169" i="2"/>
  <c r="I169" i="2" s="1"/>
  <c r="B169" i="2"/>
  <c r="C168" i="2"/>
  <c r="I168" i="2" s="1"/>
  <c r="B168" i="2"/>
  <c r="C167" i="2"/>
  <c r="D167" i="2" s="1"/>
  <c r="B167" i="2"/>
  <c r="C166" i="2"/>
  <c r="D166" i="2" s="1"/>
  <c r="B166" i="2"/>
  <c r="I165" i="2"/>
  <c r="E165" i="2" s="1"/>
  <c r="H165" i="2" s="1"/>
  <c r="C165" i="2"/>
  <c r="D165" i="2" s="1"/>
  <c r="B165" i="2"/>
  <c r="C164" i="2"/>
  <c r="D164" i="2" s="1"/>
  <c r="B164" i="2"/>
  <c r="I163" i="2"/>
  <c r="E163" i="2" s="1"/>
  <c r="H163" i="2" s="1"/>
  <c r="C163" i="2"/>
  <c r="D163" i="2" s="1"/>
  <c r="B163" i="2"/>
  <c r="I162" i="2"/>
  <c r="J162" i="2" s="1"/>
  <c r="E162" i="2"/>
  <c r="H162" i="2" s="1"/>
  <c r="C162" i="2"/>
  <c r="D162" i="2" s="1"/>
  <c r="B162" i="2"/>
  <c r="C161" i="2"/>
  <c r="I161" i="2" s="1"/>
  <c r="B161" i="2"/>
  <c r="C160" i="2"/>
  <c r="I160" i="2" s="1"/>
  <c r="B160" i="2"/>
  <c r="C159" i="2"/>
  <c r="I159" i="2" s="1"/>
  <c r="B159" i="2"/>
  <c r="C158" i="2"/>
  <c r="D158" i="2" s="1"/>
  <c r="B158" i="2"/>
  <c r="C157" i="2"/>
  <c r="D157" i="2" s="1"/>
  <c r="B157" i="2"/>
  <c r="C156" i="2"/>
  <c r="D156" i="2" s="1"/>
  <c r="B156" i="2"/>
  <c r="C155" i="2"/>
  <c r="D155" i="2" s="1"/>
  <c r="B155" i="2"/>
  <c r="I154" i="2"/>
  <c r="J154" i="2" s="1"/>
  <c r="D154" i="2"/>
  <c r="C154" i="2"/>
  <c r="B154" i="2"/>
  <c r="D153" i="2"/>
  <c r="C153" i="2"/>
  <c r="I153" i="2" s="1"/>
  <c r="B153" i="2"/>
  <c r="C152" i="2"/>
  <c r="I152" i="2" s="1"/>
  <c r="B152" i="2"/>
  <c r="D151" i="2"/>
  <c r="C151" i="2"/>
  <c r="I151" i="2" s="1"/>
  <c r="B151" i="2"/>
  <c r="C150" i="2"/>
  <c r="D150" i="2" s="1"/>
  <c r="B150" i="2"/>
  <c r="I149" i="2"/>
  <c r="E149" i="2" s="1"/>
  <c r="H149" i="2" s="1"/>
  <c r="C149" i="2"/>
  <c r="D149" i="2" s="1"/>
  <c r="B149" i="2"/>
  <c r="C148" i="2"/>
  <c r="D148" i="2" s="1"/>
  <c r="B148" i="2"/>
  <c r="I147" i="2"/>
  <c r="E147" i="2" s="1"/>
  <c r="H147" i="2" s="1"/>
  <c r="C147" i="2"/>
  <c r="D147" i="2" s="1"/>
  <c r="B147" i="2"/>
  <c r="I146" i="2"/>
  <c r="J146" i="2" s="1"/>
  <c r="E146" i="2"/>
  <c r="H146" i="2" s="1"/>
  <c r="C146" i="2"/>
  <c r="D146" i="2" s="1"/>
  <c r="B146" i="2"/>
  <c r="C145" i="2"/>
  <c r="I145" i="2" s="1"/>
  <c r="B145" i="2"/>
  <c r="C144" i="2"/>
  <c r="I144" i="2" s="1"/>
  <c r="B144" i="2"/>
  <c r="C143" i="2"/>
  <c r="I143" i="2" s="1"/>
  <c r="B143" i="2"/>
  <c r="C142" i="2"/>
  <c r="D142" i="2" s="1"/>
  <c r="B142" i="2"/>
  <c r="C141" i="2"/>
  <c r="D141" i="2" s="1"/>
  <c r="B141" i="2"/>
  <c r="C140" i="2"/>
  <c r="D140" i="2" s="1"/>
  <c r="B140" i="2"/>
  <c r="C139" i="2"/>
  <c r="D139" i="2" s="1"/>
  <c r="B139" i="2"/>
  <c r="I138" i="2"/>
  <c r="J138" i="2" s="1"/>
  <c r="D138" i="2"/>
  <c r="C138" i="2"/>
  <c r="B138" i="2"/>
  <c r="D137" i="2"/>
  <c r="C137" i="2"/>
  <c r="I137" i="2" s="1"/>
  <c r="B137" i="2"/>
  <c r="C136" i="2"/>
  <c r="I136" i="2" s="1"/>
  <c r="B136" i="2"/>
  <c r="D135" i="2"/>
  <c r="C135" i="2"/>
  <c r="I135" i="2" s="1"/>
  <c r="B135" i="2"/>
  <c r="C134" i="2"/>
  <c r="D134" i="2" s="1"/>
  <c r="B134" i="2"/>
  <c r="I133" i="2"/>
  <c r="E133" i="2" s="1"/>
  <c r="H133" i="2" s="1"/>
  <c r="C133" i="2"/>
  <c r="D133" i="2" s="1"/>
  <c r="B133" i="2"/>
  <c r="C132" i="2"/>
  <c r="D132" i="2" s="1"/>
  <c r="B132" i="2"/>
  <c r="I131" i="2"/>
  <c r="E131" i="2" s="1"/>
  <c r="H131" i="2" s="1"/>
  <c r="C131" i="2"/>
  <c r="D131" i="2" s="1"/>
  <c r="B131" i="2"/>
  <c r="I130" i="2"/>
  <c r="J130" i="2" s="1"/>
  <c r="D130" i="2"/>
  <c r="C130" i="2"/>
  <c r="B130" i="2"/>
  <c r="D129" i="2"/>
  <c r="C129" i="2"/>
  <c r="I129" i="2" s="1"/>
  <c r="B129" i="2"/>
  <c r="C128" i="2"/>
  <c r="I128" i="2" s="1"/>
  <c r="B128" i="2"/>
  <c r="D127" i="2"/>
  <c r="C127" i="2"/>
  <c r="I127" i="2" s="1"/>
  <c r="B127" i="2"/>
  <c r="C126" i="2"/>
  <c r="D126" i="2" s="1"/>
  <c r="B126" i="2"/>
  <c r="C125" i="2"/>
  <c r="D125" i="2" s="1"/>
  <c r="B125" i="2"/>
  <c r="C124" i="2"/>
  <c r="D124" i="2" s="1"/>
  <c r="B124" i="2"/>
  <c r="I123" i="2"/>
  <c r="E123" i="2" s="1"/>
  <c r="H123" i="2" s="1"/>
  <c r="C123" i="2"/>
  <c r="D123" i="2" s="1"/>
  <c r="B123" i="2"/>
  <c r="I122" i="2"/>
  <c r="J122" i="2" s="1"/>
  <c r="C122" i="2"/>
  <c r="D122" i="2" s="1"/>
  <c r="B122" i="2"/>
  <c r="C121" i="2"/>
  <c r="I121" i="2" s="1"/>
  <c r="B121" i="2"/>
  <c r="C120" i="2"/>
  <c r="I120" i="2" s="1"/>
  <c r="B120" i="2"/>
  <c r="C119" i="2"/>
  <c r="I119" i="2" s="1"/>
  <c r="B119" i="2"/>
  <c r="C118" i="2"/>
  <c r="D118" i="2" s="1"/>
  <c r="B118" i="2"/>
  <c r="C117" i="2"/>
  <c r="D117" i="2" s="1"/>
  <c r="B117" i="2"/>
  <c r="C116" i="2"/>
  <c r="D116" i="2" s="1"/>
  <c r="B116" i="2"/>
  <c r="C115" i="2"/>
  <c r="D115" i="2" s="1"/>
  <c r="B115" i="2"/>
  <c r="C114" i="2"/>
  <c r="D114" i="2" s="1"/>
  <c r="B114" i="2"/>
  <c r="C113" i="2"/>
  <c r="I113" i="2" s="1"/>
  <c r="B113" i="2"/>
  <c r="C112" i="2"/>
  <c r="I112" i="2" s="1"/>
  <c r="B112" i="2"/>
  <c r="I111" i="2"/>
  <c r="E111" i="2" s="1"/>
  <c r="H111" i="2" s="1"/>
  <c r="D111" i="2"/>
  <c r="C111" i="2"/>
  <c r="B111" i="2"/>
  <c r="C110" i="2"/>
  <c r="D110" i="2" s="1"/>
  <c r="B110" i="2"/>
  <c r="C109" i="2"/>
  <c r="D109" i="2" s="1"/>
  <c r="B109" i="2"/>
  <c r="C108" i="2"/>
  <c r="D108" i="2" s="1"/>
  <c r="B108" i="2"/>
  <c r="C107" i="2"/>
  <c r="D107" i="2" s="1"/>
  <c r="B107" i="2"/>
  <c r="I106" i="2"/>
  <c r="J106" i="2" s="1"/>
  <c r="C106" i="2"/>
  <c r="D106" i="2" s="1"/>
  <c r="B106" i="2"/>
  <c r="C105" i="2"/>
  <c r="I105" i="2" s="1"/>
  <c r="B105" i="2"/>
  <c r="C104" i="2"/>
  <c r="I104" i="2" s="1"/>
  <c r="B104" i="2"/>
  <c r="I103" i="2"/>
  <c r="E103" i="2" s="1"/>
  <c r="H103" i="2" s="1"/>
  <c r="D103" i="2"/>
  <c r="C103" i="2"/>
  <c r="B103" i="2"/>
  <c r="C102" i="2"/>
  <c r="D102" i="2" s="1"/>
  <c r="B102" i="2"/>
  <c r="C101" i="2"/>
  <c r="D101" i="2" s="1"/>
  <c r="B101" i="2"/>
  <c r="C100" i="2"/>
  <c r="D100" i="2" s="1"/>
  <c r="B100" i="2"/>
  <c r="C99" i="2"/>
  <c r="D99" i="2" s="1"/>
  <c r="B99" i="2"/>
  <c r="C98" i="2"/>
  <c r="D98" i="2" s="1"/>
  <c r="B98" i="2"/>
  <c r="C97" i="2"/>
  <c r="I97" i="2" s="1"/>
  <c r="B97" i="2"/>
  <c r="C96" i="2"/>
  <c r="I96" i="2" s="1"/>
  <c r="B96" i="2"/>
  <c r="D95" i="2"/>
  <c r="C95" i="2"/>
  <c r="I95" i="2" s="1"/>
  <c r="B95" i="2"/>
  <c r="C94" i="2"/>
  <c r="D94" i="2" s="1"/>
  <c r="B94" i="2"/>
  <c r="C93" i="2"/>
  <c r="D93" i="2" s="1"/>
  <c r="B93" i="2"/>
  <c r="C92" i="2"/>
  <c r="D92" i="2" s="1"/>
  <c r="B92" i="2"/>
  <c r="C91" i="2"/>
  <c r="D91" i="2" s="1"/>
  <c r="B91" i="2"/>
  <c r="I90" i="2"/>
  <c r="J90" i="2" s="1"/>
  <c r="C90" i="2"/>
  <c r="D90" i="2" s="1"/>
  <c r="B90" i="2"/>
  <c r="C89" i="2"/>
  <c r="I89" i="2" s="1"/>
  <c r="B89" i="2"/>
  <c r="C88" i="2"/>
  <c r="I88" i="2" s="1"/>
  <c r="B88" i="2"/>
  <c r="C87" i="2"/>
  <c r="I87" i="2" s="1"/>
  <c r="B87" i="2"/>
  <c r="C86" i="2"/>
  <c r="D86" i="2" s="1"/>
  <c r="B86" i="2"/>
  <c r="C85" i="2"/>
  <c r="D85" i="2" s="1"/>
  <c r="B85" i="2"/>
  <c r="C84" i="2"/>
  <c r="D84" i="2" s="1"/>
  <c r="B84" i="2"/>
  <c r="C83" i="2"/>
  <c r="D83" i="2" s="1"/>
  <c r="B83" i="2"/>
  <c r="C82" i="2"/>
  <c r="I82" i="2" s="1"/>
  <c r="B82" i="2"/>
  <c r="C81" i="2"/>
  <c r="I81" i="2" s="1"/>
  <c r="B81" i="2"/>
  <c r="C80" i="2"/>
  <c r="I80" i="2" s="1"/>
  <c r="B80" i="2"/>
  <c r="C79" i="2"/>
  <c r="D79" i="2" s="1"/>
  <c r="B79" i="2"/>
  <c r="C78" i="2"/>
  <c r="D78" i="2" s="1"/>
  <c r="B78" i="2"/>
  <c r="C77" i="2"/>
  <c r="D77" i="2" s="1"/>
  <c r="B77" i="2"/>
  <c r="C76" i="2"/>
  <c r="D76" i="2" s="1"/>
  <c r="B76" i="2"/>
  <c r="C75" i="2"/>
  <c r="D75" i="2" s="1"/>
  <c r="B75" i="2"/>
  <c r="C74" i="2"/>
  <c r="I74" i="2" s="1"/>
  <c r="B74" i="2"/>
  <c r="C73" i="2"/>
  <c r="I73" i="2" s="1"/>
  <c r="B73" i="2"/>
  <c r="C72" i="2"/>
  <c r="I72" i="2" s="1"/>
  <c r="B72" i="2"/>
  <c r="C71" i="2"/>
  <c r="D71" i="2" s="1"/>
  <c r="B71" i="2"/>
  <c r="C70" i="2"/>
  <c r="D70" i="2" s="1"/>
  <c r="B70" i="2"/>
  <c r="C69" i="2"/>
  <c r="D69" i="2" s="1"/>
  <c r="B69" i="2"/>
  <c r="C68" i="2"/>
  <c r="D68" i="2" s="1"/>
  <c r="B68" i="2"/>
  <c r="C67" i="2"/>
  <c r="D67" i="2" s="1"/>
  <c r="B67" i="2"/>
  <c r="C66" i="2"/>
  <c r="I66" i="2" s="1"/>
  <c r="B66" i="2"/>
  <c r="C65" i="2"/>
  <c r="I65" i="2" s="1"/>
  <c r="B65" i="2"/>
  <c r="C64" i="2"/>
  <c r="D64" i="2" s="1"/>
  <c r="B64" i="2"/>
  <c r="C63" i="2"/>
  <c r="I63" i="2" s="1"/>
  <c r="E63" i="2" s="1"/>
  <c r="H63" i="2" s="1"/>
  <c r="B63" i="2"/>
  <c r="D62" i="2"/>
  <c r="C62" i="2"/>
  <c r="I62" i="2" s="1"/>
  <c r="B62" i="2"/>
  <c r="C61" i="2"/>
  <c r="I61" i="2" s="1"/>
  <c r="B61" i="2"/>
  <c r="C60" i="2"/>
  <c r="D60" i="2" s="1"/>
  <c r="B60" i="2"/>
  <c r="C59" i="2"/>
  <c r="D59" i="2" s="1"/>
  <c r="B59" i="2"/>
  <c r="C58" i="2"/>
  <c r="I58" i="2" s="1"/>
  <c r="B58" i="2"/>
  <c r="C57" i="2"/>
  <c r="I57" i="2" s="1"/>
  <c r="B57" i="2"/>
  <c r="C56" i="2"/>
  <c r="D56" i="2" s="1"/>
  <c r="B56" i="2"/>
  <c r="C55" i="2"/>
  <c r="D55" i="2" s="1"/>
  <c r="B55" i="2"/>
  <c r="C54" i="2"/>
  <c r="D54" i="2" s="1"/>
  <c r="B54" i="2"/>
  <c r="D53" i="2"/>
  <c r="C53" i="2"/>
  <c r="I53" i="2" s="1"/>
  <c r="B53" i="2"/>
  <c r="C52" i="2"/>
  <c r="D52" i="2" s="1"/>
  <c r="B52" i="2"/>
  <c r="C51" i="2"/>
  <c r="D51" i="2" s="1"/>
  <c r="B51" i="2"/>
  <c r="C50" i="2"/>
  <c r="I50" i="2" s="1"/>
  <c r="B50" i="2"/>
  <c r="C49" i="2"/>
  <c r="I49" i="2" s="1"/>
  <c r="B49" i="2"/>
  <c r="C48" i="2"/>
  <c r="D48" i="2" s="1"/>
  <c r="B48" i="2"/>
  <c r="C47" i="2"/>
  <c r="D47" i="2" s="1"/>
  <c r="B47" i="2"/>
  <c r="C46" i="2"/>
  <c r="D46" i="2" s="1"/>
  <c r="B46" i="2"/>
  <c r="C45" i="2"/>
  <c r="D45" i="2" s="1"/>
  <c r="B45" i="2"/>
  <c r="C44" i="2"/>
  <c r="D44" i="2" s="1"/>
  <c r="B44" i="2"/>
  <c r="C43" i="2"/>
  <c r="D43" i="2" s="1"/>
  <c r="B43" i="2"/>
  <c r="C42" i="2"/>
  <c r="I42" i="2" s="1"/>
  <c r="B42" i="2"/>
  <c r="C41" i="2"/>
  <c r="I41" i="2" s="1"/>
  <c r="B41" i="2"/>
  <c r="C40" i="2"/>
  <c r="I40" i="2" s="1"/>
  <c r="B40" i="2"/>
  <c r="C39" i="2"/>
  <c r="D39" i="2" s="1"/>
  <c r="B39" i="2"/>
  <c r="C38" i="2"/>
  <c r="D38" i="2" s="1"/>
  <c r="B38" i="2"/>
  <c r="C37" i="2"/>
  <c r="D37" i="2" s="1"/>
  <c r="B37" i="2"/>
  <c r="C36" i="2"/>
  <c r="D36" i="2" s="1"/>
  <c r="B36" i="2"/>
  <c r="C35" i="2"/>
  <c r="D35" i="2" s="1"/>
  <c r="B35" i="2"/>
  <c r="C34" i="2"/>
  <c r="I34" i="2" s="1"/>
  <c r="B34" i="2"/>
  <c r="C33" i="2"/>
  <c r="I33" i="2" s="1"/>
  <c r="B33" i="2"/>
  <c r="C32" i="2"/>
  <c r="I32" i="2" s="1"/>
  <c r="B32" i="2"/>
  <c r="C31" i="2"/>
  <c r="D31" i="2" s="1"/>
  <c r="B31" i="2"/>
  <c r="C30" i="2"/>
  <c r="D30" i="2" s="1"/>
  <c r="B30" i="2"/>
  <c r="C29" i="2"/>
  <c r="D29" i="2" s="1"/>
  <c r="B29" i="2"/>
  <c r="C28" i="2"/>
  <c r="D28" i="2" s="1"/>
  <c r="B28" i="2"/>
  <c r="D27" i="2"/>
  <c r="B27" i="2"/>
  <c r="C26" i="2"/>
  <c r="I26" i="2" s="1"/>
  <c r="B26" i="2"/>
  <c r="C25" i="2"/>
  <c r="I25" i="2" s="1"/>
  <c r="B25" i="2"/>
  <c r="C24" i="2"/>
  <c r="I24" i="2" s="1"/>
  <c r="B24" i="2"/>
  <c r="C23" i="2"/>
  <c r="D23" i="2" s="1"/>
  <c r="B23" i="2"/>
  <c r="C22" i="2"/>
  <c r="D22" i="2" s="1"/>
  <c r="B22" i="2"/>
  <c r="C21" i="2"/>
  <c r="D21" i="2" s="1"/>
  <c r="B21" i="2"/>
  <c r="C20" i="2"/>
  <c r="D20" i="2" s="1"/>
  <c r="B20" i="2"/>
  <c r="C19" i="2"/>
  <c r="D19" i="2" s="1"/>
  <c r="B19" i="2"/>
  <c r="C18" i="2"/>
  <c r="I18" i="2" s="1"/>
  <c r="B18" i="2"/>
  <c r="C17" i="2"/>
  <c r="I17" i="2" s="1"/>
  <c r="B17" i="2"/>
  <c r="C16" i="2"/>
  <c r="I16" i="2" s="1"/>
  <c r="B16" i="2"/>
  <c r="C15" i="2"/>
  <c r="D15" i="2" s="1"/>
  <c r="B15" i="2"/>
  <c r="C14" i="2"/>
  <c r="D14" i="2" s="1"/>
  <c r="B14" i="2"/>
  <c r="C13" i="2"/>
  <c r="D13" i="2" s="1"/>
  <c r="B13" i="2"/>
  <c r="C12" i="2"/>
  <c r="D12" i="2" s="1"/>
  <c r="B12" i="2"/>
  <c r="C11" i="2"/>
  <c r="D11" i="2" s="1"/>
  <c r="B11" i="2"/>
  <c r="C10" i="2"/>
  <c r="I10" i="2" s="1"/>
  <c r="B10" i="2"/>
  <c r="C9" i="2"/>
  <c r="I9" i="2" s="1"/>
  <c r="B9" i="2"/>
  <c r="C8" i="2"/>
  <c r="I8" i="2" s="1"/>
  <c r="B8" i="2"/>
  <c r="C7" i="2"/>
  <c r="D7" i="2" s="1"/>
  <c r="B7" i="2"/>
  <c r="C6" i="2"/>
  <c r="D6" i="2" s="1"/>
  <c r="B6" i="2"/>
  <c r="C5" i="2"/>
  <c r="D5" i="2" s="1"/>
  <c r="B5" i="2"/>
  <c r="C4" i="2"/>
  <c r="D4" i="2" s="1"/>
  <c r="B4" i="2"/>
  <c r="C3" i="2"/>
  <c r="D3" i="2" s="1"/>
  <c r="B3" i="2"/>
  <c r="C2" i="2"/>
  <c r="I2" i="2" s="1"/>
  <c r="B2" i="2"/>
  <c r="D13" i="1"/>
  <c r="G21" i="1"/>
  <c r="G20" i="1"/>
  <c r="G30" i="1"/>
  <c r="I30" i="1" s="1"/>
  <c r="G33" i="1" s="1"/>
  <c r="H13" i="1"/>
  <c r="J62" i="2" l="1"/>
  <c r="E62" i="2"/>
  <c r="H62" i="2" s="1"/>
  <c r="J170" i="2"/>
  <c r="E170" i="2"/>
  <c r="H170" i="2" s="1"/>
  <c r="J322" i="2"/>
  <c r="E322" i="2"/>
  <c r="E382" i="2"/>
  <c r="J382" i="2"/>
  <c r="I21" i="1"/>
  <c r="G24" i="1" s="1"/>
  <c r="M21" i="1"/>
  <c r="I56" i="2"/>
  <c r="E56" i="2" s="1"/>
  <c r="H56" i="2" s="1"/>
  <c r="D119" i="2"/>
  <c r="I124" i="2"/>
  <c r="E124" i="2" s="1"/>
  <c r="H124" i="2" s="1"/>
  <c r="J131" i="2"/>
  <c r="D143" i="2"/>
  <c r="J147" i="2"/>
  <c r="D159" i="2"/>
  <c r="J163" i="2"/>
  <c r="D169" i="2"/>
  <c r="E171" i="2"/>
  <c r="H171" i="2" s="1"/>
  <c r="I173" i="2"/>
  <c r="I141" i="2"/>
  <c r="D177" i="2"/>
  <c r="I181" i="2"/>
  <c r="E181" i="2" s="1"/>
  <c r="H181" i="2" s="1"/>
  <c r="J442" i="2"/>
  <c r="I172" i="2"/>
  <c r="E172" i="2" s="1"/>
  <c r="H172" i="2" s="1"/>
  <c r="I114" i="2"/>
  <c r="J114" i="2" s="1"/>
  <c r="I117" i="2"/>
  <c r="I157" i="2"/>
  <c r="D61" i="2"/>
  <c r="D63" i="2"/>
  <c r="D72" i="2"/>
  <c r="I98" i="2"/>
  <c r="J98" i="2" s="1"/>
  <c r="I125" i="2"/>
  <c r="I132" i="2"/>
  <c r="E132" i="2" s="1"/>
  <c r="H132" i="2" s="1"/>
  <c r="I139" i="2"/>
  <c r="I148" i="2"/>
  <c r="E148" i="2" s="1"/>
  <c r="H148" i="2" s="1"/>
  <c r="I155" i="2"/>
  <c r="I164" i="2"/>
  <c r="E164" i="2" s="1"/>
  <c r="H164" i="2" s="1"/>
  <c r="D170" i="2"/>
  <c r="I187" i="2"/>
  <c r="E482" i="2"/>
  <c r="I35" i="2"/>
  <c r="E35" i="2" s="1"/>
  <c r="H35" i="2" s="1"/>
  <c r="D87" i="2"/>
  <c r="D66" i="2"/>
  <c r="I69" i="2"/>
  <c r="E69" i="2" s="1"/>
  <c r="H69" i="2" s="1"/>
  <c r="I179" i="2"/>
  <c r="K13" i="1"/>
  <c r="N21" i="1"/>
  <c r="I20" i="1"/>
  <c r="I26" i="1" s="1"/>
  <c r="D121" i="2"/>
  <c r="J123" i="2"/>
  <c r="E138" i="2"/>
  <c r="H138" i="2" s="1"/>
  <c r="D145" i="2"/>
  <c r="E154" i="2"/>
  <c r="H154" i="2" s="1"/>
  <c r="D161" i="2"/>
  <c r="E194" i="2"/>
  <c r="H194" i="2" s="1"/>
  <c r="I196" i="2"/>
  <c r="E196" i="2" s="1"/>
  <c r="H196" i="2" s="1"/>
  <c r="I48" i="2"/>
  <c r="E48" i="2" s="1"/>
  <c r="H48" i="2" s="1"/>
  <c r="I6" i="2"/>
  <c r="E6" i="2" s="1"/>
  <c r="H6" i="2" s="1"/>
  <c r="I64" i="2"/>
  <c r="E64" i="2" s="1"/>
  <c r="H64" i="2" s="1"/>
  <c r="I67" i="2"/>
  <c r="J67" i="2" s="1"/>
  <c r="D113" i="2"/>
  <c r="I116" i="2"/>
  <c r="E116" i="2" s="1"/>
  <c r="H116" i="2" s="1"/>
  <c r="J133" i="2"/>
  <c r="I140" i="2"/>
  <c r="E140" i="2" s="1"/>
  <c r="H140" i="2" s="1"/>
  <c r="J149" i="2"/>
  <c r="I156" i="2"/>
  <c r="E156" i="2" s="1"/>
  <c r="H156" i="2" s="1"/>
  <c r="J165" i="2"/>
  <c r="I180" i="2"/>
  <c r="E180" i="2" s="1"/>
  <c r="H180" i="2" s="1"/>
  <c r="J682" i="2"/>
  <c r="L23" i="10"/>
  <c r="L27" i="10" s="1"/>
  <c r="L29" i="10" s="1"/>
  <c r="E17" i="10"/>
  <c r="E23" i="10" s="1"/>
  <c r="E27" i="10" s="1"/>
  <c r="E19" i="10"/>
  <c r="E15" i="10"/>
  <c r="P13" i="9"/>
  <c r="D17" i="9"/>
  <c r="E16" i="9"/>
  <c r="G23" i="8"/>
  <c r="I23" i="8" s="1"/>
  <c r="G26" i="8" s="1"/>
  <c r="I17" i="8"/>
  <c r="L12" i="8"/>
  <c r="G33" i="8"/>
  <c r="I33" i="8" s="1"/>
  <c r="I36" i="8"/>
  <c r="F75" i="4"/>
  <c r="C75" i="4" s="1"/>
  <c r="C39" i="4"/>
  <c r="C56" i="4" s="1"/>
  <c r="BG75" i="7"/>
  <c r="BE75" i="7"/>
  <c r="BD75" i="7"/>
  <c r="BC75" i="7"/>
  <c r="AY75" i="7"/>
  <c r="AG75" i="7"/>
  <c r="AF75" i="7"/>
  <c r="V75" i="7"/>
  <c r="BI76" i="7"/>
  <c r="BA76" i="7"/>
  <c r="U77" i="7"/>
  <c r="BB76" i="7"/>
  <c r="V76" i="7"/>
  <c r="BC76" i="7"/>
  <c r="BD76" i="7"/>
  <c r="AF76" i="7"/>
  <c r="BE76" i="7"/>
  <c r="BF76" i="7"/>
  <c r="AX76" i="7"/>
  <c r="BG76" i="7"/>
  <c r="AY76" i="7"/>
  <c r="BH76" i="7"/>
  <c r="AZ76" i="7"/>
  <c r="BA75" i="7"/>
  <c r="BI75" i="7"/>
  <c r="X73" i="7"/>
  <c r="AZ75" i="7"/>
  <c r="BH75" i="7"/>
  <c r="AH76" i="7"/>
  <c r="AH75" i="7"/>
  <c r="AX75" i="7"/>
  <c r="BF75" i="7"/>
  <c r="AG76" i="7"/>
  <c r="W76" i="7"/>
  <c r="W75" i="7"/>
  <c r="AI73" i="7"/>
  <c r="W74" i="7"/>
  <c r="BB75" i="7"/>
  <c r="G23" i="1"/>
  <c r="I23" i="1" s="1"/>
  <c r="I29" i="1"/>
  <c r="I35" i="1" s="1"/>
  <c r="C27" i="4"/>
  <c r="C12" i="4"/>
  <c r="C6" i="4"/>
  <c r="C18" i="4"/>
  <c r="C88" i="4"/>
  <c r="C35" i="4"/>
  <c r="E35" i="4" s="1"/>
  <c r="G60" i="4" s="1"/>
  <c r="C31" i="4"/>
  <c r="C52" i="4" s="1"/>
  <c r="E60" i="4"/>
  <c r="H83" i="4"/>
  <c r="F83" i="4"/>
  <c r="C83" i="4" s="1"/>
  <c r="F71" i="4"/>
  <c r="C71" i="4" s="1"/>
  <c r="G41" i="1"/>
  <c r="I41" i="1" s="1"/>
  <c r="J2" i="2"/>
  <c r="E2" i="2"/>
  <c r="H2" i="2" s="1"/>
  <c r="J49" i="2"/>
  <c r="E49" i="2"/>
  <c r="H49" i="2" s="1"/>
  <c r="E53" i="2"/>
  <c r="H53" i="2" s="1"/>
  <c r="J53" i="2"/>
  <c r="J97" i="2"/>
  <c r="E97" i="2"/>
  <c r="H97" i="2" s="1"/>
  <c r="E127" i="2"/>
  <c r="H127" i="2" s="1"/>
  <c r="J127" i="2"/>
  <c r="J137" i="2"/>
  <c r="E137" i="2"/>
  <c r="H137" i="2" s="1"/>
  <c r="J153" i="2"/>
  <c r="E153" i="2"/>
  <c r="H153" i="2" s="1"/>
  <c r="E184" i="2"/>
  <c r="H184" i="2" s="1"/>
  <c r="J184" i="2"/>
  <c r="J201" i="2"/>
  <c r="E201" i="2"/>
  <c r="H201" i="2" s="1"/>
  <c r="E402" i="2"/>
  <c r="J402" i="2"/>
  <c r="J9" i="2"/>
  <c r="E9" i="2"/>
  <c r="H9" i="2" s="1"/>
  <c r="J17" i="2"/>
  <c r="E17" i="2"/>
  <c r="H17" i="2" s="1"/>
  <c r="J25" i="2"/>
  <c r="E25" i="2"/>
  <c r="H25" i="2" s="1"/>
  <c r="J33" i="2"/>
  <c r="E33" i="2"/>
  <c r="H33" i="2" s="1"/>
  <c r="J41" i="2"/>
  <c r="E41" i="2"/>
  <c r="H41" i="2" s="1"/>
  <c r="J74" i="2"/>
  <c r="E74" i="2"/>
  <c r="H74" i="2" s="1"/>
  <c r="J82" i="2"/>
  <c r="E82" i="2"/>
  <c r="H82" i="2" s="1"/>
  <c r="E119" i="2"/>
  <c r="H119" i="2" s="1"/>
  <c r="J119" i="2"/>
  <c r="E143" i="2"/>
  <c r="H143" i="2" s="1"/>
  <c r="J143" i="2"/>
  <c r="E159" i="2"/>
  <c r="H159" i="2" s="1"/>
  <c r="J159" i="2"/>
  <c r="J169" i="2"/>
  <c r="E169" i="2"/>
  <c r="H169" i="2" s="1"/>
  <c r="E176" i="2"/>
  <c r="H176" i="2" s="1"/>
  <c r="J176" i="2"/>
  <c r="E192" i="2"/>
  <c r="H192" i="2" s="1"/>
  <c r="J192" i="2"/>
  <c r="J89" i="2"/>
  <c r="E89" i="2"/>
  <c r="H89" i="2" s="1"/>
  <c r="E96" i="2"/>
  <c r="H96" i="2" s="1"/>
  <c r="J96" i="2"/>
  <c r="J113" i="2"/>
  <c r="E113" i="2"/>
  <c r="H113" i="2" s="1"/>
  <c r="E136" i="2"/>
  <c r="H136" i="2" s="1"/>
  <c r="J136" i="2"/>
  <c r="E152" i="2"/>
  <c r="H152" i="2" s="1"/>
  <c r="J152" i="2"/>
  <c r="E200" i="2"/>
  <c r="H200" i="2" s="1"/>
  <c r="J200" i="2"/>
  <c r="E212" i="2"/>
  <c r="J212" i="2"/>
  <c r="J232" i="2"/>
  <c r="E232" i="2"/>
  <c r="E8" i="2"/>
  <c r="H8" i="2" s="1"/>
  <c r="J8" i="2"/>
  <c r="E16" i="2"/>
  <c r="H16" i="2" s="1"/>
  <c r="J16" i="2"/>
  <c r="E24" i="2"/>
  <c r="H24" i="2" s="1"/>
  <c r="J24" i="2"/>
  <c r="E32" i="2"/>
  <c r="H32" i="2" s="1"/>
  <c r="J32" i="2"/>
  <c r="E40" i="2"/>
  <c r="H40" i="2" s="1"/>
  <c r="J40" i="2"/>
  <c r="J73" i="2"/>
  <c r="E73" i="2"/>
  <c r="H73" i="2" s="1"/>
  <c r="J81" i="2"/>
  <c r="E81" i="2"/>
  <c r="H81" i="2" s="1"/>
  <c r="J129" i="2"/>
  <c r="E129" i="2"/>
  <c r="H129" i="2" s="1"/>
  <c r="E168" i="2"/>
  <c r="H168" i="2" s="1"/>
  <c r="J168" i="2"/>
  <c r="J362" i="2"/>
  <c r="E362" i="2"/>
  <c r="J58" i="2"/>
  <c r="E58" i="2"/>
  <c r="H58" i="2" s="1"/>
  <c r="E88" i="2"/>
  <c r="H88" i="2" s="1"/>
  <c r="J88" i="2"/>
  <c r="E112" i="2"/>
  <c r="H112" i="2" s="1"/>
  <c r="J112" i="2"/>
  <c r="J121" i="2"/>
  <c r="E121" i="2"/>
  <c r="H121" i="2" s="1"/>
  <c r="J145" i="2"/>
  <c r="E145" i="2"/>
  <c r="H145" i="2" s="1"/>
  <c r="J161" i="2"/>
  <c r="E161" i="2"/>
  <c r="H161" i="2" s="1"/>
  <c r="J66" i="2"/>
  <c r="E66" i="2"/>
  <c r="H66" i="2" s="1"/>
  <c r="E80" i="2"/>
  <c r="H80" i="2" s="1"/>
  <c r="J80" i="2"/>
  <c r="E95" i="2"/>
  <c r="H95" i="2" s="1"/>
  <c r="J95" i="2"/>
  <c r="J105" i="2"/>
  <c r="E105" i="2"/>
  <c r="H105" i="2" s="1"/>
  <c r="E128" i="2"/>
  <c r="H128" i="2" s="1"/>
  <c r="J128" i="2"/>
  <c r="E135" i="2"/>
  <c r="H135" i="2" s="1"/>
  <c r="J135" i="2"/>
  <c r="E151" i="2"/>
  <c r="H151" i="2" s="1"/>
  <c r="J151" i="2"/>
  <c r="J50" i="2"/>
  <c r="E50" i="2"/>
  <c r="H50" i="2" s="1"/>
  <c r="J57" i="2"/>
  <c r="E57" i="2"/>
  <c r="H57" i="2" s="1"/>
  <c r="E61" i="2"/>
  <c r="H61" i="2" s="1"/>
  <c r="J61" i="2"/>
  <c r="E72" i="2"/>
  <c r="H72" i="2" s="1"/>
  <c r="J72" i="2"/>
  <c r="E120" i="2"/>
  <c r="H120" i="2" s="1"/>
  <c r="J120" i="2"/>
  <c r="E144" i="2"/>
  <c r="H144" i="2" s="1"/>
  <c r="J144" i="2"/>
  <c r="E160" i="2"/>
  <c r="H160" i="2" s="1"/>
  <c r="J160" i="2"/>
  <c r="J185" i="2"/>
  <c r="E185" i="2"/>
  <c r="H185" i="2" s="1"/>
  <c r="E222" i="2"/>
  <c r="J222" i="2"/>
  <c r="J242" i="2"/>
  <c r="E242" i="2"/>
  <c r="E262" i="2"/>
  <c r="J262" i="2"/>
  <c r="E282" i="2"/>
  <c r="J282" i="2"/>
  <c r="J302" i="2"/>
  <c r="E302" i="2"/>
  <c r="J10" i="2"/>
  <c r="E10" i="2"/>
  <c r="H10" i="2" s="1"/>
  <c r="J18" i="2"/>
  <c r="E18" i="2"/>
  <c r="H18" i="2" s="1"/>
  <c r="J26" i="2"/>
  <c r="E26" i="2"/>
  <c r="H26" i="2" s="1"/>
  <c r="J34" i="2"/>
  <c r="E34" i="2"/>
  <c r="H34" i="2" s="1"/>
  <c r="J42" i="2"/>
  <c r="E42" i="2"/>
  <c r="H42" i="2" s="1"/>
  <c r="J65" i="2"/>
  <c r="E65" i="2"/>
  <c r="H65" i="2" s="1"/>
  <c r="E87" i="2"/>
  <c r="H87" i="2" s="1"/>
  <c r="J87" i="2"/>
  <c r="E104" i="2"/>
  <c r="H104" i="2" s="1"/>
  <c r="J104" i="2"/>
  <c r="J177" i="2"/>
  <c r="E177" i="2"/>
  <c r="H177" i="2" s="1"/>
  <c r="J193" i="2"/>
  <c r="E193" i="2"/>
  <c r="H193" i="2" s="1"/>
  <c r="I3" i="2"/>
  <c r="D8" i="2"/>
  <c r="I11" i="2"/>
  <c r="D16" i="2"/>
  <c r="I19" i="2"/>
  <c r="D24" i="2"/>
  <c r="I27" i="2"/>
  <c r="D32" i="2"/>
  <c r="D40" i="2"/>
  <c r="I43" i="2"/>
  <c r="I51" i="2"/>
  <c r="I59" i="2"/>
  <c r="I75" i="2"/>
  <c r="D80" i="2"/>
  <c r="I83" i="2"/>
  <c r="D88" i="2"/>
  <c r="I91" i="2"/>
  <c r="D96" i="2"/>
  <c r="I99" i="2"/>
  <c r="D104" i="2"/>
  <c r="I107" i="2"/>
  <c r="D112" i="2"/>
  <c r="I115" i="2"/>
  <c r="J116" i="2"/>
  <c r="D120" i="2"/>
  <c r="J124" i="2"/>
  <c r="D128" i="2"/>
  <c r="J132" i="2"/>
  <c r="D136" i="2"/>
  <c r="J140" i="2"/>
  <c r="D144" i="2"/>
  <c r="J148" i="2"/>
  <c r="D152" i="2"/>
  <c r="J156" i="2"/>
  <c r="D160" i="2"/>
  <c r="J164" i="2"/>
  <c r="D168" i="2"/>
  <c r="J172" i="2"/>
  <c r="D176" i="2"/>
  <c r="J180" i="2"/>
  <c r="D184" i="2"/>
  <c r="J188" i="2"/>
  <c r="D192" i="2"/>
  <c r="J196" i="2"/>
  <c r="D200" i="2"/>
  <c r="J722" i="2"/>
  <c r="I4" i="2"/>
  <c r="D9" i="2"/>
  <c r="I12" i="2"/>
  <c r="D17" i="2"/>
  <c r="I20" i="2"/>
  <c r="D25" i="2"/>
  <c r="I28" i="2"/>
  <c r="D33" i="2"/>
  <c r="I36" i="2"/>
  <c r="D41" i="2"/>
  <c r="I44" i="2"/>
  <c r="D49" i="2"/>
  <c r="I52" i="2"/>
  <c r="D57" i="2"/>
  <c r="I60" i="2"/>
  <c r="D65" i="2"/>
  <c r="I68" i="2"/>
  <c r="D73" i="2"/>
  <c r="I76" i="2"/>
  <c r="D81" i="2"/>
  <c r="I84" i="2"/>
  <c r="D89" i="2"/>
  <c r="E90" i="2"/>
  <c r="H90" i="2" s="1"/>
  <c r="I92" i="2"/>
  <c r="D97" i="2"/>
  <c r="E98" i="2"/>
  <c r="H98" i="2" s="1"/>
  <c r="I100" i="2"/>
  <c r="D105" i="2"/>
  <c r="E106" i="2"/>
  <c r="H106" i="2" s="1"/>
  <c r="I108" i="2"/>
  <c r="E114" i="2"/>
  <c r="H114" i="2" s="1"/>
  <c r="E122" i="2"/>
  <c r="H122" i="2" s="1"/>
  <c r="E130" i="2"/>
  <c r="H130" i="2" s="1"/>
  <c r="J181" i="2"/>
  <c r="D185" i="2"/>
  <c r="J189" i="2"/>
  <c r="D193" i="2"/>
  <c r="J197" i="2"/>
  <c r="D201" i="2"/>
  <c r="D2" i="2"/>
  <c r="I5" i="2"/>
  <c r="J6" i="2"/>
  <c r="D10" i="2"/>
  <c r="I13" i="2"/>
  <c r="D18" i="2"/>
  <c r="I21" i="2"/>
  <c r="D26" i="2"/>
  <c r="I29" i="2"/>
  <c r="D34" i="2"/>
  <c r="I37" i="2"/>
  <c r="D42" i="2"/>
  <c r="I45" i="2"/>
  <c r="D50" i="2"/>
  <c r="D58" i="2"/>
  <c r="E67" i="2"/>
  <c r="H67" i="2" s="1"/>
  <c r="D74" i="2"/>
  <c r="I77" i="2"/>
  <c r="D82" i="2"/>
  <c r="I85" i="2"/>
  <c r="I93" i="2"/>
  <c r="I101" i="2"/>
  <c r="I109" i="2"/>
  <c r="I14" i="2"/>
  <c r="I22" i="2"/>
  <c r="I30" i="2"/>
  <c r="I38" i="2"/>
  <c r="I46" i="2"/>
  <c r="I54" i="2"/>
  <c r="J63" i="2"/>
  <c r="I70" i="2"/>
  <c r="I78" i="2"/>
  <c r="I86" i="2"/>
  <c r="I94" i="2"/>
  <c r="I102" i="2"/>
  <c r="J103" i="2"/>
  <c r="I110" i="2"/>
  <c r="J111" i="2"/>
  <c r="I118" i="2"/>
  <c r="I126" i="2"/>
  <c r="I134" i="2"/>
  <c r="I142" i="2"/>
  <c r="I150" i="2"/>
  <c r="I158" i="2"/>
  <c r="I166" i="2"/>
  <c r="I174" i="2"/>
  <c r="I182" i="2"/>
  <c r="I190" i="2"/>
  <c r="I198" i="2"/>
  <c r="I7" i="2"/>
  <c r="I15" i="2"/>
  <c r="I23" i="2"/>
  <c r="I31" i="2"/>
  <c r="I39" i="2"/>
  <c r="I47" i="2"/>
  <c r="I55" i="2"/>
  <c r="J56" i="2"/>
  <c r="J64" i="2"/>
  <c r="I71" i="2"/>
  <c r="I79" i="2"/>
  <c r="I167" i="2"/>
  <c r="I175" i="2"/>
  <c r="I183" i="2"/>
  <c r="I191" i="2"/>
  <c r="I199" i="2"/>
  <c r="J562" i="2"/>
  <c r="D9" i="1"/>
  <c r="E9" i="1" s="1"/>
  <c r="F16" i="1"/>
  <c r="E13" i="1"/>
  <c r="G12" i="1"/>
  <c r="I12" i="1" s="1"/>
  <c r="J9" i="1"/>
  <c r="H9" i="1"/>
  <c r="J179" i="2" l="1"/>
  <c r="E179" i="2"/>
  <c r="H179" i="2" s="1"/>
  <c r="J155" i="2"/>
  <c r="E155" i="2"/>
  <c r="H155" i="2" s="1"/>
  <c r="E141" i="2"/>
  <c r="H141" i="2" s="1"/>
  <c r="J141" i="2"/>
  <c r="E157" i="2"/>
  <c r="H157" i="2" s="1"/>
  <c r="J157" i="2"/>
  <c r="E173" i="2"/>
  <c r="H173" i="2" s="1"/>
  <c r="J173" i="2"/>
  <c r="J69" i="2"/>
  <c r="J139" i="2"/>
  <c r="E139" i="2"/>
  <c r="H139" i="2" s="1"/>
  <c r="E117" i="2"/>
  <c r="H117" i="2" s="1"/>
  <c r="J117" i="2"/>
  <c r="J48" i="2"/>
  <c r="E125" i="2"/>
  <c r="H125" i="2" s="1"/>
  <c r="J125" i="2"/>
  <c r="K12" i="1"/>
  <c r="AG77" i="7"/>
  <c r="V77" i="7"/>
  <c r="J187" i="2"/>
  <c r="E187" i="2"/>
  <c r="H187" i="2" s="1"/>
  <c r="P12" i="9"/>
  <c r="C17" i="8"/>
  <c r="G40" i="8" s="1"/>
  <c r="I40" i="8" s="1"/>
  <c r="J17" i="8"/>
  <c r="L17" i="8" s="1"/>
  <c r="AH77" i="7"/>
  <c r="AJ73" i="7"/>
  <c r="AI74" i="7"/>
  <c r="AI75" i="7"/>
  <c r="AI76" i="7"/>
  <c r="AI77" i="7"/>
  <c r="BH77" i="7"/>
  <c r="AZ77" i="7"/>
  <c r="BI77" i="7"/>
  <c r="BA77" i="7"/>
  <c r="U78" i="7"/>
  <c r="AI78" i="7" s="1"/>
  <c r="BB77" i="7"/>
  <c r="BC77" i="7"/>
  <c r="BD77" i="7"/>
  <c r="AF77" i="7"/>
  <c r="BE77" i="7"/>
  <c r="BF77" i="7"/>
  <c r="AX77" i="7"/>
  <c r="BG77" i="7"/>
  <c r="AY77" i="7"/>
  <c r="X74" i="7"/>
  <c r="X75" i="7"/>
  <c r="X76" i="7"/>
  <c r="X77" i="7"/>
  <c r="Y73" i="7"/>
  <c r="W77" i="7"/>
  <c r="C60" i="4"/>
  <c r="C64" i="4" s="1"/>
  <c r="F68" i="4"/>
  <c r="C68" i="4" s="1"/>
  <c r="G32" i="1"/>
  <c r="I32" i="1" s="1"/>
  <c r="J13" i="1"/>
  <c r="E102" i="2"/>
  <c r="H102" i="2" s="1"/>
  <c r="J102" i="2"/>
  <c r="E12" i="2"/>
  <c r="H12" i="2" s="1"/>
  <c r="J12" i="2"/>
  <c r="J91" i="2"/>
  <c r="E91" i="2"/>
  <c r="H91" i="2" s="1"/>
  <c r="E23" i="2"/>
  <c r="H23" i="2" s="1"/>
  <c r="J23" i="2"/>
  <c r="E76" i="2"/>
  <c r="H76" i="2" s="1"/>
  <c r="J76" i="2"/>
  <c r="J11" i="2"/>
  <c r="E11" i="2"/>
  <c r="H11" i="2" s="1"/>
  <c r="E31" i="2"/>
  <c r="H31" i="2" s="1"/>
  <c r="J31" i="2"/>
  <c r="E110" i="2"/>
  <c r="H110" i="2" s="1"/>
  <c r="J110" i="2"/>
  <c r="E93" i="2"/>
  <c r="H93" i="2" s="1"/>
  <c r="J93" i="2"/>
  <c r="E13" i="2"/>
  <c r="H13" i="2" s="1"/>
  <c r="J13" i="2"/>
  <c r="E52" i="2"/>
  <c r="H52" i="2" s="1"/>
  <c r="J52" i="2"/>
  <c r="J99" i="2"/>
  <c r="E99" i="2"/>
  <c r="H99" i="2" s="1"/>
  <c r="E174" i="2"/>
  <c r="H174" i="2" s="1"/>
  <c r="J174" i="2"/>
  <c r="J59" i="2"/>
  <c r="E59" i="2"/>
  <c r="H59" i="2" s="1"/>
  <c r="J19" i="2"/>
  <c r="E19" i="2"/>
  <c r="H19" i="2" s="1"/>
  <c r="E175" i="2"/>
  <c r="H175" i="2" s="1"/>
  <c r="J175" i="2"/>
  <c r="E47" i="2"/>
  <c r="H47" i="2" s="1"/>
  <c r="J47" i="2"/>
  <c r="E182" i="2"/>
  <c r="H182" i="2" s="1"/>
  <c r="J182" i="2"/>
  <c r="E118" i="2"/>
  <c r="H118" i="2" s="1"/>
  <c r="J118" i="2"/>
  <c r="E70" i="2"/>
  <c r="H70" i="2" s="1"/>
  <c r="J70" i="2"/>
  <c r="E109" i="2"/>
  <c r="H109" i="2" s="1"/>
  <c r="J109" i="2"/>
  <c r="E21" i="2"/>
  <c r="H21" i="2" s="1"/>
  <c r="J21" i="2"/>
  <c r="E108" i="2"/>
  <c r="H108" i="2" s="1"/>
  <c r="J108" i="2"/>
  <c r="E60" i="2"/>
  <c r="H60" i="2" s="1"/>
  <c r="J60" i="2"/>
  <c r="E28" i="2"/>
  <c r="H28" i="2" s="1"/>
  <c r="J28" i="2"/>
  <c r="J107" i="2"/>
  <c r="E107" i="2"/>
  <c r="H107" i="2" s="1"/>
  <c r="J75" i="2"/>
  <c r="E75" i="2"/>
  <c r="H75" i="2" s="1"/>
  <c r="E183" i="2"/>
  <c r="H183" i="2" s="1"/>
  <c r="J183" i="2"/>
  <c r="E190" i="2"/>
  <c r="H190" i="2" s="1"/>
  <c r="J190" i="2"/>
  <c r="E126" i="2"/>
  <c r="H126" i="2" s="1"/>
  <c r="J126" i="2"/>
  <c r="E78" i="2"/>
  <c r="H78" i="2" s="1"/>
  <c r="J78" i="2"/>
  <c r="E14" i="2"/>
  <c r="H14" i="2" s="1"/>
  <c r="J14" i="2"/>
  <c r="J27" i="2"/>
  <c r="E27" i="2"/>
  <c r="H27" i="2" s="1"/>
  <c r="E37" i="2"/>
  <c r="H37" i="2" s="1"/>
  <c r="J37" i="2"/>
  <c r="E15" i="2"/>
  <c r="H15" i="2" s="1"/>
  <c r="J15" i="2"/>
  <c r="E38" i="2"/>
  <c r="H38" i="2" s="1"/>
  <c r="J38" i="2"/>
  <c r="E71" i="2"/>
  <c r="H71" i="2" s="1"/>
  <c r="J71" i="2"/>
  <c r="E158" i="2"/>
  <c r="H158" i="2" s="1"/>
  <c r="J158" i="2"/>
  <c r="E85" i="2"/>
  <c r="H85" i="2" s="1"/>
  <c r="J85" i="2"/>
  <c r="E100" i="2"/>
  <c r="H100" i="2" s="1"/>
  <c r="J100" i="2"/>
  <c r="E79" i="2"/>
  <c r="H79" i="2" s="1"/>
  <c r="J79" i="2"/>
  <c r="E166" i="2"/>
  <c r="H166" i="2" s="1"/>
  <c r="J166" i="2"/>
  <c r="E54" i="2"/>
  <c r="H54" i="2" s="1"/>
  <c r="J54" i="2"/>
  <c r="E45" i="2"/>
  <c r="H45" i="2" s="1"/>
  <c r="J45" i="2"/>
  <c r="E20" i="2"/>
  <c r="H20" i="2" s="1"/>
  <c r="J20" i="2"/>
  <c r="J51" i="2"/>
  <c r="E51" i="2"/>
  <c r="H51" i="2" s="1"/>
  <c r="E167" i="2"/>
  <c r="H167" i="2" s="1"/>
  <c r="J167" i="2"/>
  <c r="E39" i="2"/>
  <c r="H39" i="2" s="1"/>
  <c r="J39" i="2"/>
  <c r="E101" i="2"/>
  <c r="H101" i="2" s="1"/>
  <c r="J101" i="2"/>
  <c r="E84" i="2"/>
  <c r="H84" i="2" s="1"/>
  <c r="G40" i="1" s="1"/>
  <c r="I40" i="1" s="1"/>
  <c r="G43" i="1" s="1"/>
  <c r="J84" i="2"/>
  <c r="E191" i="2"/>
  <c r="H191" i="2" s="1"/>
  <c r="J191" i="2"/>
  <c r="E55" i="2"/>
  <c r="H55" i="2" s="1"/>
  <c r="J55" i="2"/>
  <c r="E198" i="2"/>
  <c r="H198" i="2" s="1"/>
  <c r="J198" i="2"/>
  <c r="E134" i="2"/>
  <c r="H134" i="2" s="1"/>
  <c r="J134" i="2"/>
  <c r="E86" i="2"/>
  <c r="H86" i="2" s="1"/>
  <c r="J86" i="2"/>
  <c r="E22" i="2"/>
  <c r="H22" i="2" s="1"/>
  <c r="J22" i="2"/>
  <c r="E29" i="2"/>
  <c r="H29" i="2" s="1"/>
  <c r="J29" i="2"/>
  <c r="E92" i="2"/>
  <c r="H92" i="2" s="1"/>
  <c r="J92" i="2"/>
  <c r="E68" i="2"/>
  <c r="H68" i="2" s="1"/>
  <c r="J68" i="2"/>
  <c r="E36" i="2"/>
  <c r="H36" i="2" s="1"/>
  <c r="J36" i="2"/>
  <c r="E4" i="2"/>
  <c r="H4" i="2" s="1"/>
  <c r="J4" i="2"/>
  <c r="J115" i="2"/>
  <c r="E115" i="2"/>
  <c r="H115" i="2" s="1"/>
  <c r="J83" i="2"/>
  <c r="E83" i="2"/>
  <c r="H83" i="2" s="1"/>
  <c r="E199" i="2"/>
  <c r="H199" i="2" s="1"/>
  <c r="J199" i="2"/>
  <c r="E7" i="2"/>
  <c r="H7" i="2" s="1"/>
  <c r="J7" i="2"/>
  <c r="E142" i="2"/>
  <c r="H142" i="2" s="1"/>
  <c r="J142" i="2"/>
  <c r="E94" i="2"/>
  <c r="H94" i="2" s="1"/>
  <c r="J94" i="2"/>
  <c r="E30" i="2"/>
  <c r="H30" i="2" s="1"/>
  <c r="J30" i="2"/>
  <c r="E77" i="2"/>
  <c r="H77" i="2" s="1"/>
  <c r="J77" i="2"/>
  <c r="E5" i="2"/>
  <c r="H5" i="2" s="1"/>
  <c r="J5" i="2"/>
  <c r="J35" i="2"/>
  <c r="J3" i="2"/>
  <c r="E3" i="2"/>
  <c r="H3" i="2" s="1"/>
  <c r="E150" i="2"/>
  <c r="H150" i="2" s="1"/>
  <c r="J150" i="2"/>
  <c r="E44" i="2"/>
  <c r="H44" i="2" s="1"/>
  <c r="J44" i="2"/>
  <c r="E46" i="2"/>
  <c r="H46" i="2" s="1"/>
  <c r="J46" i="2"/>
  <c r="J43" i="2"/>
  <c r="E43" i="2"/>
  <c r="H43" i="2" s="1"/>
  <c r="H12" i="1"/>
  <c r="H16" i="1" s="1"/>
  <c r="G16" i="1" s="1"/>
  <c r="G29" i="1"/>
  <c r="L9" i="1"/>
  <c r="L13" i="1"/>
  <c r="D12" i="1"/>
  <c r="E12" i="1" s="1"/>
  <c r="G32" i="8" l="1"/>
  <c r="I32" i="8" s="1"/>
  <c r="G35" i="8" s="1"/>
  <c r="G31" i="1"/>
  <c r="I31" i="1" s="1"/>
  <c r="G34" i="1" s="1"/>
  <c r="X78" i="7"/>
  <c r="G41" i="8"/>
  <c r="I41" i="8" s="1"/>
  <c r="G44" i="8" s="1"/>
  <c r="G43" i="8"/>
  <c r="I45" i="8"/>
  <c r="D17" i="8"/>
  <c r="Z73" i="7"/>
  <c r="Y74" i="7"/>
  <c r="Y75" i="7"/>
  <c r="Y76" i="7"/>
  <c r="Y77" i="7"/>
  <c r="Y78" i="7"/>
  <c r="AJ77" i="7"/>
  <c r="AJ78" i="7"/>
  <c r="AJ79" i="7"/>
  <c r="AK73" i="7"/>
  <c r="AJ74" i="7"/>
  <c r="AJ75" i="7"/>
  <c r="AJ76" i="7"/>
  <c r="BG78" i="7"/>
  <c r="AY78" i="7"/>
  <c r="BH78" i="7"/>
  <c r="AZ78" i="7"/>
  <c r="BI78" i="7"/>
  <c r="BA78" i="7"/>
  <c r="U79" i="7"/>
  <c r="Y79" i="7" s="1"/>
  <c r="BB78" i="7"/>
  <c r="V78" i="7"/>
  <c r="BC78" i="7"/>
  <c r="BD78" i="7"/>
  <c r="AF78" i="7"/>
  <c r="BE78" i="7"/>
  <c r="BF78" i="7"/>
  <c r="AX78" i="7"/>
  <c r="W78" i="7"/>
  <c r="AH78" i="7"/>
  <c r="AG78" i="7"/>
  <c r="G47" i="1"/>
  <c r="I47" i="1" s="1"/>
  <c r="J12" i="1"/>
  <c r="K16" i="1"/>
  <c r="I16" i="1" s="1"/>
  <c r="C16" i="1" l="1"/>
  <c r="G49" i="1"/>
  <c r="E17" i="8"/>
  <c r="D18" i="8"/>
  <c r="Z79" i="7"/>
  <c r="AA73" i="7"/>
  <c r="Z74" i="7"/>
  <c r="Z75" i="7"/>
  <c r="Z76" i="7"/>
  <c r="Z77" i="7"/>
  <c r="Z78" i="7"/>
  <c r="BF79" i="7"/>
  <c r="AX79" i="7"/>
  <c r="BG79" i="7"/>
  <c r="AY79" i="7"/>
  <c r="BH79" i="7"/>
  <c r="AZ79" i="7"/>
  <c r="BI79" i="7"/>
  <c r="BA79" i="7"/>
  <c r="U80" i="7"/>
  <c r="AK80" i="7" s="1"/>
  <c r="BB79" i="7"/>
  <c r="V79" i="7"/>
  <c r="BC79" i="7"/>
  <c r="BD79" i="7"/>
  <c r="AF79" i="7"/>
  <c r="BE79" i="7"/>
  <c r="AG79" i="7"/>
  <c r="AH79" i="7"/>
  <c r="W79" i="7"/>
  <c r="AI79" i="7"/>
  <c r="X79" i="7"/>
  <c r="AK76" i="7"/>
  <c r="AK77" i="7"/>
  <c r="AK78" i="7"/>
  <c r="AK79" i="7"/>
  <c r="AL73" i="7"/>
  <c r="AK74" i="7"/>
  <c r="AK75" i="7"/>
  <c r="G50" i="1"/>
  <c r="I50" i="1" s="1"/>
  <c r="I49" i="1"/>
  <c r="G52" i="1" s="1"/>
  <c r="L12" i="1"/>
  <c r="AL75" i="7" l="1"/>
  <c r="AL76" i="7"/>
  <c r="AL77" i="7"/>
  <c r="AL78" i="7"/>
  <c r="AL79" i="7"/>
  <c r="AM73" i="7"/>
  <c r="AL80" i="7"/>
  <c r="AL74" i="7"/>
  <c r="BE80" i="7"/>
  <c r="BF80" i="7"/>
  <c r="AX80" i="7"/>
  <c r="BG80" i="7"/>
  <c r="AY80" i="7"/>
  <c r="BH80" i="7"/>
  <c r="AZ80" i="7"/>
  <c r="BI80" i="7"/>
  <c r="BA80" i="7"/>
  <c r="U81" i="7"/>
  <c r="AL81" i="7" s="1"/>
  <c r="BB80" i="7"/>
  <c r="V80" i="7"/>
  <c r="BC80" i="7"/>
  <c r="BD80" i="7"/>
  <c r="AF80" i="7"/>
  <c r="AG80" i="7"/>
  <c r="W80" i="7"/>
  <c r="AH80" i="7"/>
  <c r="X80" i="7"/>
  <c r="AI80" i="7"/>
  <c r="AJ80" i="7"/>
  <c r="Y80" i="7"/>
  <c r="Z80" i="7"/>
  <c r="AA78" i="7"/>
  <c r="AA79" i="7"/>
  <c r="AA80" i="7"/>
  <c r="AB73" i="7"/>
  <c r="AA74" i="7"/>
  <c r="AA75" i="7"/>
  <c r="AA76" i="7"/>
  <c r="AA77" i="7"/>
  <c r="J16" i="1"/>
  <c r="L16" i="1" s="1"/>
  <c r="AA81" i="7" l="1"/>
  <c r="AM74" i="7"/>
  <c r="AM75" i="7"/>
  <c r="AM76" i="7"/>
  <c r="AM77" i="7"/>
  <c r="AM78" i="7"/>
  <c r="AM79" i="7"/>
  <c r="AN73" i="7"/>
  <c r="AM80" i="7"/>
  <c r="AM81" i="7"/>
  <c r="AB77" i="7"/>
  <c r="AB78" i="7"/>
  <c r="AB79" i="7"/>
  <c r="AB80" i="7"/>
  <c r="AC73" i="7"/>
  <c r="AB81" i="7"/>
  <c r="AB74" i="7"/>
  <c r="AB75" i="7"/>
  <c r="AB76" i="7"/>
  <c r="BD81" i="7"/>
  <c r="AF81" i="7"/>
  <c r="BE81" i="7"/>
  <c r="BF81" i="7"/>
  <c r="AX81" i="7"/>
  <c r="BG81" i="7"/>
  <c r="AY81" i="7"/>
  <c r="BH81" i="7"/>
  <c r="AZ81" i="7"/>
  <c r="BI81" i="7"/>
  <c r="BA81" i="7"/>
  <c r="U82" i="7"/>
  <c r="AB82" i="7" s="1"/>
  <c r="BB81" i="7"/>
  <c r="V81" i="7"/>
  <c r="BC81" i="7"/>
  <c r="W81" i="7"/>
  <c r="AG81" i="7"/>
  <c r="AH81" i="7"/>
  <c r="AI81" i="7"/>
  <c r="X81" i="7"/>
  <c r="AJ81" i="7"/>
  <c r="Y81" i="7"/>
  <c r="Z81" i="7"/>
  <c r="AK81" i="7"/>
  <c r="D16" i="1"/>
  <c r="E16" i="1" s="1"/>
  <c r="G48" i="1"/>
  <c r="I48" i="1" s="1"/>
  <c r="G51" i="1" s="1"/>
  <c r="AC76" i="7" l="1"/>
  <c r="AC77" i="7"/>
  <c r="AC78" i="7"/>
  <c r="AC79" i="7"/>
  <c r="AC80" i="7"/>
  <c r="AD73" i="7"/>
  <c r="AC81" i="7"/>
  <c r="AC82" i="7"/>
  <c r="AC74" i="7"/>
  <c r="AC75" i="7"/>
  <c r="BC82" i="7"/>
  <c r="BD82" i="7"/>
  <c r="AF82" i="7"/>
  <c r="BE82" i="7"/>
  <c r="BF82" i="7"/>
  <c r="AX82" i="7"/>
  <c r="BG82" i="7"/>
  <c r="AY82" i="7"/>
  <c r="BH82" i="7"/>
  <c r="AZ82" i="7"/>
  <c r="BI82" i="7"/>
  <c r="BA82" i="7"/>
  <c r="U83" i="7"/>
  <c r="BB82" i="7"/>
  <c r="V82" i="7"/>
  <c r="AH82" i="7"/>
  <c r="W82" i="7"/>
  <c r="AG82" i="7"/>
  <c r="AI82" i="7"/>
  <c r="X82" i="7"/>
  <c r="Y82" i="7"/>
  <c r="AJ82" i="7"/>
  <c r="Z82" i="7"/>
  <c r="AK82" i="7"/>
  <c r="AA82" i="7"/>
  <c r="AL82" i="7"/>
  <c r="AM82" i="7"/>
  <c r="AN81" i="7"/>
  <c r="AN82" i="7"/>
  <c r="AN74" i="7"/>
  <c r="AN83" i="7"/>
  <c r="AN75" i="7"/>
  <c r="AN76" i="7"/>
  <c r="AN77" i="7"/>
  <c r="AN78" i="7"/>
  <c r="AN79" i="7"/>
  <c r="AO73" i="7"/>
  <c r="AN80" i="7"/>
  <c r="I53" i="1"/>
  <c r="U84" i="7" l="1"/>
  <c r="AO84" i="7" s="1"/>
  <c r="BB83" i="7"/>
  <c r="V83" i="7"/>
  <c r="BC83" i="7"/>
  <c r="BD83" i="7"/>
  <c r="AF83" i="7"/>
  <c r="BE83" i="7"/>
  <c r="BF83" i="7"/>
  <c r="AX83" i="7"/>
  <c r="BG83" i="7"/>
  <c r="AY83" i="7"/>
  <c r="BH83" i="7"/>
  <c r="AZ83" i="7"/>
  <c r="BI83" i="7"/>
  <c r="BA83" i="7"/>
  <c r="AH83" i="7"/>
  <c r="W83" i="7"/>
  <c r="AG83" i="7"/>
  <c r="AI83" i="7"/>
  <c r="X83" i="7"/>
  <c r="Y83" i="7"/>
  <c r="AJ83" i="7"/>
  <c r="Z83" i="7"/>
  <c r="AK83" i="7"/>
  <c r="AA83" i="7"/>
  <c r="AL83" i="7"/>
  <c r="AB83" i="7"/>
  <c r="AM83" i="7"/>
  <c r="AC83" i="7"/>
  <c r="AO80" i="7"/>
  <c r="AO81" i="7"/>
  <c r="AO82" i="7"/>
  <c r="AO74" i="7"/>
  <c r="AO83" i="7"/>
  <c r="AO75" i="7"/>
  <c r="AO76" i="7"/>
  <c r="AO77" i="7"/>
  <c r="AO78" i="7"/>
  <c r="AO79" i="7"/>
  <c r="AP73" i="7"/>
  <c r="AD83" i="7"/>
  <c r="AD75" i="7"/>
  <c r="AD76" i="7"/>
  <c r="AD77" i="7"/>
  <c r="AD78" i="7"/>
  <c r="AD79" i="7"/>
  <c r="AD80" i="7"/>
  <c r="AE73" i="7"/>
  <c r="AD81" i="7"/>
  <c r="AD82" i="7"/>
  <c r="AD74" i="7"/>
  <c r="I44" i="1"/>
  <c r="AD84" i="7" l="1"/>
  <c r="AP79" i="7"/>
  <c r="AQ73" i="7"/>
  <c r="AP80" i="7"/>
  <c r="AP81" i="7"/>
  <c r="AP82" i="7"/>
  <c r="AP74" i="7"/>
  <c r="AP83" i="7"/>
  <c r="AP75" i="7"/>
  <c r="AP84" i="7"/>
  <c r="AP76" i="7"/>
  <c r="AP77" i="7"/>
  <c r="AP78" i="7"/>
  <c r="BI84" i="7"/>
  <c r="BA84" i="7"/>
  <c r="U85" i="7"/>
  <c r="AP85" i="7" s="1"/>
  <c r="BB84" i="7"/>
  <c r="V84" i="7"/>
  <c r="BC84" i="7"/>
  <c r="BD84" i="7"/>
  <c r="AF84" i="7"/>
  <c r="BE84" i="7"/>
  <c r="BF84" i="7"/>
  <c r="AX84" i="7"/>
  <c r="BG84" i="7"/>
  <c r="AY84" i="7"/>
  <c r="BH84" i="7"/>
  <c r="AZ84" i="7"/>
  <c r="AH84" i="7"/>
  <c r="W84" i="7"/>
  <c r="AG84" i="7"/>
  <c r="AI84" i="7"/>
  <c r="X84" i="7"/>
  <c r="AJ84" i="7"/>
  <c r="Y84" i="7"/>
  <c r="Z84" i="7"/>
  <c r="AK84" i="7"/>
  <c r="AL84" i="7"/>
  <c r="AA84" i="7"/>
  <c r="AB84" i="7"/>
  <c r="AM84" i="7"/>
  <c r="AN84" i="7"/>
  <c r="AC84" i="7"/>
  <c r="AE82" i="7"/>
  <c r="AE74" i="7"/>
  <c r="AE83" i="7"/>
  <c r="AE75" i="7"/>
  <c r="AE84" i="7"/>
  <c r="AE76" i="7"/>
  <c r="AE85" i="7"/>
  <c r="AE77" i="7"/>
  <c r="AE78" i="7"/>
  <c r="AE79" i="7"/>
  <c r="AE80" i="7"/>
  <c r="AE81" i="7"/>
  <c r="G25" i="1"/>
  <c r="N22" i="1" s="1"/>
  <c r="AQ78" i="7" l="1"/>
  <c r="AQ79" i="7"/>
  <c r="AR73" i="7"/>
  <c r="AQ80" i="7"/>
  <c r="AQ81" i="7"/>
  <c r="AQ82" i="7"/>
  <c r="AQ74" i="7"/>
  <c r="AQ83" i="7"/>
  <c r="AQ75" i="7"/>
  <c r="AQ84" i="7"/>
  <c r="AQ76" i="7"/>
  <c r="AQ85" i="7"/>
  <c r="AQ77" i="7"/>
  <c r="BH85" i="7"/>
  <c r="AZ85" i="7"/>
  <c r="BI85" i="7"/>
  <c r="BA85" i="7"/>
  <c r="U86" i="7"/>
  <c r="BB85" i="7"/>
  <c r="V85" i="7"/>
  <c r="BC85" i="7"/>
  <c r="BD85" i="7"/>
  <c r="AF85" i="7"/>
  <c r="BE85" i="7"/>
  <c r="BF85" i="7"/>
  <c r="AX85" i="7"/>
  <c r="BG85" i="7"/>
  <c r="AY85" i="7"/>
  <c r="AG85" i="7"/>
  <c r="AH85" i="7"/>
  <c r="W85" i="7"/>
  <c r="AI85" i="7"/>
  <c r="X85" i="7"/>
  <c r="AJ85" i="7"/>
  <c r="Y85" i="7"/>
  <c r="Z85" i="7"/>
  <c r="AK85" i="7"/>
  <c r="AA85" i="7"/>
  <c r="AL85" i="7"/>
  <c r="AM85" i="7"/>
  <c r="AB85" i="7"/>
  <c r="AC85" i="7"/>
  <c r="AN85" i="7"/>
  <c r="AD85" i="7"/>
  <c r="AO85" i="7"/>
  <c r="AR85" i="7" l="1"/>
  <c r="AR77" i="7"/>
  <c r="AR86" i="7"/>
  <c r="AR78" i="7"/>
  <c r="AR79" i="7"/>
  <c r="AS73" i="7"/>
  <c r="AR80" i="7"/>
  <c r="AR81" i="7"/>
  <c r="AR82" i="7"/>
  <c r="AR74" i="7"/>
  <c r="AR83" i="7"/>
  <c r="AR75" i="7"/>
  <c r="AR84" i="7"/>
  <c r="AR76" i="7"/>
  <c r="BG86" i="7"/>
  <c r="AY86" i="7"/>
  <c r="BH86" i="7"/>
  <c r="AZ86" i="7"/>
  <c r="BI86" i="7"/>
  <c r="BA86" i="7"/>
  <c r="U87" i="7"/>
  <c r="BB86" i="7"/>
  <c r="V86" i="7"/>
  <c r="BC86" i="7"/>
  <c r="BD86" i="7"/>
  <c r="AF86" i="7"/>
  <c r="BE86" i="7"/>
  <c r="BF86" i="7"/>
  <c r="AX86" i="7"/>
  <c r="AH86" i="7"/>
  <c r="AG86" i="7"/>
  <c r="W86" i="7"/>
  <c r="X86" i="7"/>
  <c r="AI86" i="7"/>
  <c r="AJ86" i="7"/>
  <c r="Y86" i="7"/>
  <c r="AK86" i="7"/>
  <c r="Z86" i="7"/>
  <c r="AL86" i="7"/>
  <c r="AA86" i="7"/>
  <c r="AM86" i="7"/>
  <c r="AB86" i="7"/>
  <c r="AC86" i="7"/>
  <c r="AN86" i="7"/>
  <c r="AD86" i="7"/>
  <c r="AO86" i="7"/>
  <c r="AP86" i="7"/>
  <c r="AE86" i="7"/>
  <c r="AQ86" i="7"/>
  <c r="AS84" i="7" l="1"/>
  <c r="AS76" i="7"/>
  <c r="AS85" i="7"/>
  <c r="AS77" i="7"/>
  <c r="AS86" i="7"/>
  <c r="AS78" i="7"/>
  <c r="AS87" i="7"/>
  <c r="AS79" i="7"/>
  <c r="AT73" i="7"/>
  <c r="AS80" i="7"/>
  <c r="AS81" i="7"/>
  <c r="AS82" i="7"/>
  <c r="AS74" i="7"/>
  <c r="AS83" i="7"/>
  <c r="AS75" i="7"/>
  <c r="BF87" i="7"/>
  <c r="AX87" i="7"/>
  <c r="BG87" i="7"/>
  <c r="AY87" i="7"/>
  <c r="BH87" i="7"/>
  <c r="AZ87" i="7"/>
  <c r="BI87" i="7"/>
  <c r="BA87" i="7"/>
  <c r="U88" i="7"/>
  <c r="AS88" i="7" s="1"/>
  <c r="BB87" i="7"/>
  <c r="V87" i="7"/>
  <c r="BC87" i="7"/>
  <c r="BD87" i="7"/>
  <c r="AF87" i="7"/>
  <c r="BE87" i="7"/>
  <c r="W87" i="7"/>
  <c r="AG87" i="7"/>
  <c r="AH87" i="7"/>
  <c r="X87" i="7"/>
  <c r="AI87" i="7"/>
  <c r="AJ87" i="7"/>
  <c r="Y87" i="7"/>
  <c r="AK87" i="7"/>
  <c r="Z87" i="7"/>
  <c r="AL87" i="7"/>
  <c r="AA87" i="7"/>
  <c r="AM87" i="7"/>
  <c r="AB87" i="7"/>
  <c r="AN87" i="7"/>
  <c r="AC87" i="7"/>
  <c r="AD87" i="7"/>
  <c r="AO87" i="7"/>
  <c r="AE87" i="7"/>
  <c r="AP87" i="7"/>
  <c r="AQ87" i="7"/>
  <c r="AR87" i="7"/>
  <c r="BE88" i="7" l="1"/>
  <c r="BF88" i="7"/>
  <c r="AX88" i="7"/>
  <c r="BG88" i="7"/>
  <c r="AY88" i="7"/>
  <c r="BH88" i="7"/>
  <c r="AZ88" i="7"/>
  <c r="BI88" i="7"/>
  <c r="BA88" i="7"/>
  <c r="U89" i="7"/>
  <c r="BB88" i="7"/>
  <c r="V88" i="7"/>
  <c r="BC88" i="7"/>
  <c r="BD88" i="7"/>
  <c r="AF88" i="7"/>
  <c r="W88" i="7"/>
  <c r="AH88" i="7"/>
  <c r="AG88" i="7"/>
  <c r="X88" i="7"/>
  <c r="AI88" i="7"/>
  <c r="Y88" i="7"/>
  <c r="AJ88" i="7"/>
  <c r="AK88" i="7"/>
  <c r="Z88" i="7"/>
  <c r="AL88" i="7"/>
  <c r="AA88" i="7"/>
  <c r="AB88" i="7"/>
  <c r="AM88" i="7"/>
  <c r="AN88" i="7"/>
  <c r="AC88" i="7"/>
  <c r="AO88" i="7"/>
  <c r="AD88" i="7"/>
  <c r="AE88" i="7"/>
  <c r="AP88" i="7"/>
  <c r="AQ88" i="7"/>
  <c r="AR88" i="7"/>
  <c r="AT83" i="7"/>
  <c r="AT75" i="7"/>
  <c r="AT84" i="7"/>
  <c r="AT76" i="7"/>
  <c r="AT85" i="7"/>
  <c r="AT77" i="7"/>
  <c r="AT86" i="7"/>
  <c r="AT78" i="7"/>
  <c r="AT87" i="7"/>
  <c r="AT79" i="7"/>
  <c r="AU73" i="7"/>
  <c r="AT88" i="7"/>
  <c r="AT80" i="7"/>
  <c r="AT89" i="7"/>
  <c r="AT81" i="7"/>
  <c r="AT82" i="7"/>
  <c r="AT74" i="7"/>
  <c r="BD89" i="7" l="1"/>
  <c r="AF89" i="7"/>
  <c r="BE89" i="7"/>
  <c r="BF89" i="7"/>
  <c r="AX89" i="7"/>
  <c r="BG89" i="7"/>
  <c r="AY89" i="7"/>
  <c r="BH89" i="7"/>
  <c r="AZ89" i="7"/>
  <c r="BI89" i="7"/>
  <c r="BA89" i="7"/>
  <c r="U90" i="7"/>
  <c r="BB89" i="7"/>
  <c r="V89" i="7"/>
  <c r="BC89" i="7"/>
  <c r="AH89" i="7"/>
  <c r="W89" i="7"/>
  <c r="AG89" i="7"/>
  <c r="AI89" i="7"/>
  <c r="X89" i="7"/>
  <c r="AJ89" i="7"/>
  <c r="Y89" i="7"/>
  <c r="Z89" i="7"/>
  <c r="AK89" i="7"/>
  <c r="AL89" i="7"/>
  <c r="AA89" i="7"/>
  <c r="AB89" i="7"/>
  <c r="AM89" i="7"/>
  <c r="AN89" i="7"/>
  <c r="AC89" i="7"/>
  <c r="AO89" i="7"/>
  <c r="AD89" i="7"/>
  <c r="AE89" i="7"/>
  <c r="AP89" i="7"/>
  <c r="AQ89" i="7"/>
  <c r="AR89" i="7"/>
  <c r="AS89" i="7"/>
  <c r="AU82" i="7"/>
  <c r="AU74" i="7"/>
  <c r="AU83" i="7"/>
  <c r="AU75" i="7"/>
  <c r="AU84" i="7"/>
  <c r="AU76" i="7"/>
  <c r="AU85" i="7"/>
  <c r="AU77" i="7"/>
  <c r="AU86" i="7"/>
  <c r="AU78" i="7"/>
  <c r="AU87" i="7"/>
  <c r="AU79" i="7"/>
  <c r="AV73" i="7"/>
  <c r="AU88" i="7"/>
  <c r="AU80" i="7"/>
  <c r="AU89" i="7"/>
  <c r="AU81" i="7"/>
  <c r="BC90" i="7" l="1"/>
  <c r="BD90" i="7"/>
  <c r="AF90" i="7"/>
  <c r="BE90" i="7"/>
  <c r="BF90" i="7"/>
  <c r="AX90" i="7"/>
  <c r="BG90" i="7"/>
  <c r="AY90" i="7"/>
  <c r="BH90" i="7"/>
  <c r="AZ90" i="7"/>
  <c r="BI90" i="7"/>
  <c r="BA90" i="7"/>
  <c r="U91" i="7"/>
  <c r="BB90" i="7"/>
  <c r="V90" i="7"/>
  <c r="AG90" i="7"/>
  <c r="AH90" i="7"/>
  <c r="W90" i="7"/>
  <c r="AI90" i="7"/>
  <c r="X90" i="7"/>
  <c r="AJ90" i="7"/>
  <c r="Y90" i="7"/>
  <c r="Z90" i="7"/>
  <c r="AK90" i="7"/>
  <c r="AA90" i="7"/>
  <c r="AL90" i="7"/>
  <c r="AB90" i="7"/>
  <c r="AM90" i="7"/>
  <c r="AC90" i="7"/>
  <c r="AN90" i="7"/>
  <c r="AO90" i="7"/>
  <c r="AD90" i="7"/>
  <c r="AP90" i="7"/>
  <c r="AE90" i="7"/>
  <c r="AQ90" i="7"/>
  <c r="AR90" i="7"/>
  <c r="AS90" i="7"/>
  <c r="AT90" i="7"/>
  <c r="AV89" i="7"/>
  <c r="AV81" i="7"/>
  <c r="AV90" i="7"/>
  <c r="AV82" i="7"/>
  <c r="AV74" i="7"/>
  <c r="AV83" i="7"/>
  <c r="AV75" i="7"/>
  <c r="AV84" i="7"/>
  <c r="AV76" i="7"/>
  <c r="AV85" i="7"/>
  <c r="AV77" i="7"/>
  <c r="AV86" i="7"/>
  <c r="AV78" i="7"/>
  <c r="AV87" i="7"/>
  <c r="AV79" i="7"/>
  <c r="AW73" i="7"/>
  <c r="AV88" i="7"/>
  <c r="AV80" i="7"/>
  <c r="AU90" i="7"/>
  <c r="U92" i="7" l="1"/>
  <c r="BB91" i="7"/>
  <c r="V91" i="7"/>
  <c r="BC91" i="7"/>
  <c r="BD91" i="7"/>
  <c r="AF91" i="7"/>
  <c r="BE91" i="7"/>
  <c r="BF91" i="7"/>
  <c r="AX91" i="7"/>
  <c r="BG91" i="7"/>
  <c r="AY91" i="7"/>
  <c r="BH91" i="7"/>
  <c r="AZ91" i="7"/>
  <c r="BI91" i="7"/>
  <c r="BA91" i="7"/>
  <c r="W91" i="7"/>
  <c r="AG91" i="7"/>
  <c r="AH91" i="7"/>
  <c r="AI91" i="7"/>
  <c r="X91" i="7"/>
  <c r="Y91" i="7"/>
  <c r="AJ91" i="7"/>
  <c r="Z91" i="7"/>
  <c r="AK91" i="7"/>
  <c r="AA91" i="7"/>
  <c r="AL91" i="7"/>
  <c r="AM91" i="7"/>
  <c r="AB91" i="7"/>
  <c r="AC91" i="7"/>
  <c r="AN91" i="7"/>
  <c r="AD91" i="7"/>
  <c r="AO91" i="7"/>
  <c r="AP91" i="7"/>
  <c r="AE91" i="7"/>
  <c r="AQ91" i="7"/>
  <c r="AR91" i="7"/>
  <c r="AS91" i="7"/>
  <c r="AT91" i="7"/>
  <c r="AU91" i="7"/>
  <c r="AV91" i="7"/>
  <c r="AW88" i="7"/>
  <c r="AW80" i="7"/>
  <c r="AW89" i="7"/>
  <c r="AW81" i="7"/>
  <c r="AW90" i="7"/>
  <c r="AW82" i="7"/>
  <c r="AW74" i="7"/>
  <c r="AW91" i="7"/>
  <c r="AW83" i="7"/>
  <c r="AW75" i="7"/>
  <c r="AW84" i="7"/>
  <c r="AW76" i="7"/>
  <c r="AW85" i="7"/>
  <c r="AW77" i="7"/>
  <c r="AW86" i="7"/>
  <c r="AW78" i="7"/>
  <c r="AW87" i="7"/>
  <c r="AW79" i="7"/>
  <c r="BI92" i="7" l="1"/>
  <c r="BA92" i="7"/>
  <c r="U93" i="7"/>
  <c r="BB92" i="7"/>
  <c r="V92" i="7"/>
  <c r="BC92" i="7"/>
  <c r="BD92" i="7"/>
  <c r="AF92" i="7"/>
  <c r="BE92" i="7"/>
  <c r="BF92" i="7"/>
  <c r="AX92" i="7"/>
  <c r="BG92" i="7"/>
  <c r="AY92" i="7"/>
  <c r="BH92" i="7"/>
  <c r="AZ92" i="7"/>
  <c r="AH92" i="7"/>
  <c r="W92" i="7"/>
  <c r="AG92" i="7"/>
  <c r="AI92" i="7"/>
  <c r="X92" i="7"/>
  <c r="Y92" i="7"/>
  <c r="AJ92" i="7"/>
  <c r="AK92" i="7"/>
  <c r="Z92" i="7"/>
  <c r="AA92" i="7"/>
  <c r="AL92" i="7"/>
  <c r="AB92" i="7"/>
  <c r="AM92" i="7"/>
  <c r="AN92" i="7"/>
  <c r="AC92" i="7"/>
  <c r="AD92" i="7"/>
  <c r="AO92" i="7"/>
  <c r="AP92" i="7"/>
  <c r="AE92" i="7"/>
  <c r="AQ92" i="7"/>
  <c r="AR92" i="7"/>
  <c r="AS92" i="7"/>
  <c r="AT92" i="7"/>
  <c r="AU92" i="7"/>
  <c r="AV92" i="7"/>
  <c r="AW92" i="7"/>
  <c r="BH93" i="7" l="1"/>
  <c r="AZ93" i="7"/>
  <c r="BI93" i="7"/>
  <c r="BA93" i="7"/>
  <c r="U94" i="7"/>
  <c r="BB93" i="7"/>
  <c r="V93" i="7"/>
  <c r="BC93" i="7"/>
  <c r="BD93" i="7"/>
  <c r="AF93" i="7"/>
  <c r="BE93" i="7"/>
  <c r="BF93" i="7"/>
  <c r="AX93" i="7"/>
  <c r="BG93" i="7"/>
  <c r="AY93" i="7"/>
  <c r="AH93" i="7"/>
  <c r="W93" i="7"/>
  <c r="AG93" i="7"/>
  <c r="AI93" i="7"/>
  <c r="X93" i="7"/>
  <c r="AJ93" i="7"/>
  <c r="Y93" i="7"/>
  <c r="Z93" i="7"/>
  <c r="AK93" i="7"/>
  <c r="AL93" i="7"/>
  <c r="AA93" i="7"/>
  <c r="AM93" i="7"/>
  <c r="AB93" i="7"/>
  <c r="AN93" i="7"/>
  <c r="AC93" i="7"/>
  <c r="AD93" i="7"/>
  <c r="AO93" i="7"/>
  <c r="AE93" i="7"/>
  <c r="AP93" i="7"/>
  <c r="AQ93" i="7"/>
  <c r="AR93" i="7"/>
  <c r="AS93" i="7"/>
  <c r="AT93" i="7"/>
  <c r="AU93" i="7"/>
  <c r="AV93" i="7"/>
  <c r="AW93" i="7"/>
  <c r="BG94" i="7" l="1"/>
  <c r="AY94" i="7"/>
  <c r="BH94" i="7"/>
  <c r="AZ94" i="7"/>
  <c r="BI94" i="7"/>
  <c r="BA94" i="7"/>
  <c r="U95" i="7"/>
  <c r="BB94" i="7"/>
  <c r="V94" i="7"/>
  <c r="BC94" i="7"/>
  <c r="BD94" i="7"/>
  <c r="AF94" i="7"/>
  <c r="BE94" i="7"/>
  <c r="BF94" i="7"/>
  <c r="AX94" i="7"/>
  <c r="AG94" i="7"/>
  <c r="W94" i="7"/>
  <c r="AH94" i="7"/>
  <c r="X94" i="7"/>
  <c r="AI94" i="7"/>
  <c r="AJ94" i="7"/>
  <c r="Y94" i="7"/>
  <c r="AK94" i="7"/>
  <c r="Z94" i="7"/>
  <c r="AL94" i="7"/>
  <c r="AA94" i="7"/>
  <c r="AM94" i="7"/>
  <c r="AB94" i="7"/>
  <c r="AN94" i="7"/>
  <c r="AC94" i="7"/>
  <c r="AD94" i="7"/>
  <c r="AO94" i="7"/>
  <c r="AP94" i="7"/>
  <c r="AE94" i="7"/>
  <c r="AQ94" i="7"/>
  <c r="AR94" i="7"/>
  <c r="AS94" i="7"/>
  <c r="AT94" i="7"/>
  <c r="AU94" i="7"/>
  <c r="AV94" i="7"/>
  <c r="AW94" i="7"/>
  <c r="BF95" i="7" l="1"/>
  <c r="AX95" i="7"/>
  <c r="BG95" i="7"/>
  <c r="AY95" i="7"/>
  <c r="BH95" i="7"/>
  <c r="AZ95" i="7"/>
  <c r="BI95" i="7"/>
  <c r="BA95" i="7"/>
  <c r="U96" i="7"/>
  <c r="BB95" i="7"/>
  <c r="V95" i="7"/>
  <c r="BC95" i="7"/>
  <c r="BD95" i="7"/>
  <c r="AF95" i="7"/>
  <c r="BE95" i="7"/>
  <c r="AH95" i="7"/>
  <c r="AG95" i="7"/>
  <c r="W95" i="7"/>
  <c r="X95" i="7"/>
  <c r="AI95" i="7"/>
  <c r="AJ95" i="7"/>
  <c r="Y95" i="7"/>
  <c r="Z95" i="7"/>
  <c r="AK95" i="7"/>
  <c r="AL95" i="7"/>
  <c r="AA95" i="7"/>
  <c r="AM95" i="7"/>
  <c r="AB95" i="7"/>
  <c r="AC95" i="7"/>
  <c r="AN95" i="7"/>
  <c r="AO95" i="7"/>
  <c r="AD95" i="7"/>
  <c r="AE95" i="7"/>
  <c r="AP95" i="7"/>
  <c r="AQ95" i="7"/>
  <c r="AR95" i="7"/>
  <c r="AS95" i="7"/>
  <c r="AT95" i="7"/>
  <c r="AU95" i="7"/>
  <c r="AV95" i="7"/>
  <c r="AW95" i="7"/>
  <c r="BE96" i="7" l="1"/>
  <c r="BF96" i="7"/>
  <c r="AX96" i="7"/>
  <c r="BG96" i="7"/>
  <c r="AY96" i="7"/>
  <c r="BH96" i="7"/>
  <c r="AZ96" i="7"/>
  <c r="BI96" i="7"/>
  <c r="BA96" i="7"/>
  <c r="U97" i="7"/>
  <c r="BB96" i="7"/>
  <c r="V96" i="7"/>
  <c r="BC96" i="7"/>
  <c r="BD96" i="7"/>
  <c r="AF96" i="7"/>
  <c r="AH96" i="7"/>
  <c r="AG96" i="7"/>
  <c r="W96" i="7"/>
  <c r="AI96" i="7"/>
  <c r="X96" i="7"/>
  <c r="AJ96" i="7"/>
  <c r="Y96" i="7"/>
  <c r="AK96" i="7"/>
  <c r="Z96" i="7"/>
  <c r="AA96" i="7"/>
  <c r="AL96" i="7"/>
  <c r="AM96" i="7"/>
  <c r="AB96" i="7"/>
  <c r="AC96" i="7"/>
  <c r="AN96" i="7"/>
  <c r="AD96" i="7"/>
  <c r="AO96" i="7"/>
  <c r="AE96" i="7"/>
  <c r="AP96" i="7"/>
  <c r="AQ96" i="7"/>
  <c r="AR96" i="7"/>
  <c r="AS96" i="7"/>
  <c r="AT96" i="7"/>
  <c r="AU96" i="7"/>
  <c r="AV96" i="7"/>
  <c r="AW96" i="7"/>
  <c r="BD97" i="7" l="1"/>
  <c r="AF97" i="7"/>
  <c r="BE97" i="7"/>
  <c r="BF97" i="7"/>
  <c r="AX97" i="7"/>
  <c r="BG97" i="7"/>
  <c r="AY97" i="7"/>
  <c r="BH97" i="7"/>
  <c r="AZ97" i="7"/>
  <c r="BI97" i="7"/>
  <c r="BA97" i="7"/>
  <c r="U98" i="7"/>
  <c r="BB97" i="7"/>
  <c r="V97" i="7"/>
  <c r="BC97" i="7"/>
  <c r="AH97" i="7"/>
  <c r="W97" i="7"/>
  <c r="AG97" i="7"/>
  <c r="AI97" i="7"/>
  <c r="X97" i="7"/>
  <c r="Y97" i="7"/>
  <c r="AJ97" i="7"/>
  <c r="Z97" i="7"/>
  <c r="AK97" i="7"/>
  <c r="AL97" i="7"/>
  <c r="AA97" i="7"/>
  <c r="AM97" i="7"/>
  <c r="AB97" i="7"/>
  <c r="AN97" i="7"/>
  <c r="AC97" i="7"/>
  <c r="AD97" i="7"/>
  <c r="AO97" i="7"/>
  <c r="AE97" i="7"/>
  <c r="AP97" i="7"/>
  <c r="AQ97" i="7"/>
  <c r="AR97" i="7"/>
  <c r="AS97" i="7"/>
  <c r="AT97" i="7"/>
  <c r="AU97" i="7"/>
  <c r="AV97" i="7"/>
  <c r="AW97" i="7"/>
  <c r="BC98" i="7" l="1"/>
  <c r="BD98" i="7"/>
  <c r="AF98" i="7"/>
  <c r="BE98" i="7"/>
  <c r="BF98" i="7"/>
  <c r="AX98" i="7"/>
  <c r="BG98" i="7"/>
  <c r="AY98" i="7"/>
  <c r="BH98" i="7"/>
  <c r="AZ98" i="7"/>
  <c r="BI98" i="7"/>
  <c r="BA98" i="7"/>
  <c r="U99" i="7"/>
  <c r="BB98" i="7"/>
  <c r="V98" i="7"/>
  <c r="AG98" i="7"/>
  <c r="AH98" i="7"/>
  <c r="W98" i="7"/>
  <c r="AI98" i="7"/>
  <c r="X98" i="7"/>
  <c r="Y98" i="7"/>
  <c r="AJ98" i="7"/>
  <c r="AK98" i="7"/>
  <c r="Z98" i="7"/>
  <c r="AL98" i="7"/>
  <c r="AA98" i="7"/>
  <c r="AB98" i="7"/>
  <c r="AM98" i="7"/>
  <c r="AC98" i="7"/>
  <c r="AN98" i="7"/>
  <c r="AO98" i="7"/>
  <c r="AD98" i="7"/>
  <c r="AP98" i="7"/>
  <c r="AE98" i="7"/>
  <c r="AQ98" i="7"/>
  <c r="AR98" i="7"/>
  <c r="AS98" i="7"/>
  <c r="AT98" i="7"/>
  <c r="AU98" i="7"/>
  <c r="AV98" i="7"/>
  <c r="AW98" i="7"/>
  <c r="BB99" i="7" l="1"/>
  <c r="V99" i="7"/>
  <c r="BC99" i="7"/>
  <c r="BD99" i="7"/>
  <c r="AF99" i="7"/>
  <c r="BE99" i="7"/>
  <c r="BF99" i="7"/>
  <c r="AX99" i="7"/>
  <c r="BG99" i="7"/>
  <c r="AY99" i="7"/>
  <c r="BH99" i="7"/>
  <c r="AZ99" i="7"/>
  <c r="BI99" i="7"/>
  <c r="BA99" i="7"/>
  <c r="AH99" i="7"/>
  <c r="AG99" i="7"/>
  <c r="W99" i="7"/>
  <c r="AI99" i="7"/>
  <c r="X99" i="7"/>
  <c r="Y99" i="7"/>
  <c r="AJ99" i="7"/>
  <c r="AK99" i="7"/>
  <c r="Z99" i="7"/>
  <c r="AA99" i="7"/>
  <c r="AL99" i="7"/>
  <c r="AM99" i="7"/>
  <c r="AB99" i="7"/>
  <c r="AC99" i="7"/>
  <c r="AN99" i="7"/>
  <c r="AD99" i="7"/>
  <c r="AO99" i="7"/>
  <c r="AE99" i="7"/>
  <c r="AP99" i="7"/>
  <c r="AQ99" i="7"/>
  <c r="AR99" i="7"/>
  <c r="AS99" i="7"/>
  <c r="AT99" i="7"/>
  <c r="AU99" i="7"/>
  <c r="AV99" i="7"/>
  <c r="AW99" i="7"/>
  <c r="J16" i="9"/>
  <c r="L16" i="9"/>
  <c r="H18" i="9" l="1"/>
  <c r="N20" i="9"/>
  <c r="N21" i="9" s="1"/>
  <c r="N22" i="9" s="1"/>
  <c r="G18" i="9"/>
  <c r="H20" i="9"/>
  <c r="G20" i="9" s="1"/>
  <c r="D20" i="9" l="1"/>
  <c r="I20" i="9"/>
  <c r="H25" i="9"/>
  <c r="G25" i="9" s="1"/>
  <c r="G47" i="9" s="1"/>
  <c r="I47" i="9" s="1"/>
  <c r="G50" i="9" s="1"/>
  <c r="G40" i="9" l="1"/>
  <c r="I40" i="9" s="1"/>
  <c r="G43" i="9" s="1"/>
  <c r="K20" i="9"/>
  <c r="I50" i="9"/>
  <c r="G38" i="9"/>
  <c r="I38" i="9" s="1"/>
  <c r="D21" i="9" l="1"/>
  <c r="E20" i="9"/>
  <c r="L20" i="9" s="1"/>
  <c r="I44" i="9"/>
  <c r="G41" i="9"/>
  <c r="I41" i="9" s="1"/>
  <c r="I25" i="9"/>
  <c r="J20" i="9"/>
  <c r="C25" i="9" l="1"/>
  <c r="D25" i="9" s="1"/>
  <c r="D26" i="9" s="1"/>
  <c r="K25" i="9"/>
  <c r="G49" i="9"/>
  <c r="L3" i="9" s="1"/>
  <c r="J25" i="9"/>
  <c r="G48" i="9" l="1"/>
  <c r="I48" i="9" s="1"/>
  <c r="I53" i="9" s="1"/>
  <c r="I49" i="9"/>
  <c r="G52" i="9" s="1"/>
  <c r="E25" i="9" l="1"/>
  <c r="L25" i="9" s="1"/>
</calcChain>
</file>

<file path=xl/sharedStrings.xml><?xml version="1.0" encoding="utf-8"?>
<sst xmlns="http://schemas.openxmlformats.org/spreadsheetml/2006/main" count="585" uniqueCount="283">
  <si>
    <t>Paramètres</t>
  </si>
  <si>
    <t>T°c</t>
  </si>
  <si>
    <t>Volume</t>
  </si>
  <si>
    <t>Poids</t>
  </si>
  <si>
    <t>W</t>
  </si>
  <si>
    <t>Enthalpie</t>
  </si>
  <si>
    <t>m3/kgas</t>
  </si>
  <si>
    <t>total</t>
  </si>
  <si>
    <t>kg as</t>
  </si>
  <si>
    <t>kg/kgas</t>
  </si>
  <si>
    <t>kj/kgas</t>
  </si>
  <si>
    <t>kcal/kgas</t>
  </si>
  <si>
    <t>total kj</t>
  </si>
  <si>
    <t>total kcal</t>
  </si>
  <si>
    <t>Caractéristiques d'un mélange d'air humide</t>
  </si>
  <si>
    <t>(humidité abs)</t>
  </si>
  <si>
    <t>m3</t>
  </si>
  <si>
    <t>kg eau</t>
  </si>
  <si>
    <t>Pa</t>
  </si>
  <si>
    <t>φ</t>
  </si>
  <si>
    <t>%</t>
  </si>
  <si>
    <t>Caractéristiques de l'air 1</t>
  </si>
  <si>
    <t>Caractéristiques de l'air 2</t>
  </si>
  <si>
    <t xml:space="preserve">Pression de vapeur de l'air </t>
  </si>
  <si>
    <t>Pression de vapeur saturante</t>
  </si>
  <si>
    <t>Humidité relative de l'air  (HR)</t>
  </si>
  <si>
    <t>Caractéristiques de l'air 3</t>
  </si>
  <si>
    <t>Caractéristiques de l'air 4</t>
  </si>
  <si>
    <t>Pression partielle de vapeur dans l'air sortant Pw</t>
  </si>
  <si>
    <t>Pression partielle de vapeur saturante Pws à</t>
  </si>
  <si>
    <t>T°c humide</t>
  </si>
  <si>
    <t>T°c de rosée</t>
  </si>
  <si>
    <t>Pv sat.Pe en Pa</t>
  </si>
  <si>
    <t>P air sec Pa</t>
  </si>
  <si>
    <t>ws gr/ kg as</t>
  </si>
  <si>
    <t>H kj / kg</t>
  </si>
  <si>
    <t>ws kg/ kg as</t>
  </si>
  <si>
    <t>v m3 / kg</t>
  </si>
  <si>
    <t>P atm Pa</t>
  </si>
  <si>
    <t>T°C bulbe humide</t>
  </si>
  <si>
    <t>Point de rosée</t>
  </si>
  <si>
    <t>Humidité relative HR%</t>
  </si>
  <si>
    <t>de 15 à 30°C</t>
  </si>
  <si>
    <t>Patm</t>
  </si>
  <si>
    <t>°C</t>
  </si>
  <si>
    <t>Formule 1</t>
  </si>
  <si>
    <t>Formule 2</t>
  </si>
  <si>
    <t xml:space="preserve"> . 100</t>
  </si>
  <si>
    <t>Formule 3</t>
  </si>
  <si>
    <t>Formule 4</t>
  </si>
  <si>
    <t>Formule 5</t>
  </si>
  <si>
    <t>kg / kg as</t>
  </si>
  <si>
    <t>0,24  t + X (597,1 + 0,46 t)</t>
  </si>
  <si>
    <t>KJ / kg as</t>
  </si>
  <si>
    <t>KCal / kg</t>
  </si>
  <si>
    <t>(((1,005+(1,880*w))*t)+(2500*w))</t>
  </si>
  <si>
    <t>Formule 6</t>
  </si>
  <si>
    <t>Formule 7</t>
  </si>
  <si>
    <t xml:space="preserve"> -0,0023*h^2+0,5955*h-5,9859</t>
  </si>
  <si>
    <t>Formule 8</t>
  </si>
  <si>
    <t>Formule 9</t>
  </si>
  <si>
    <t>3928,5/(LN(101325*140974)-LN(Pa))-231,667</t>
  </si>
  <si>
    <t>Pour T°C = 23,5 ; 0,009 kg/kgas ; 1427 Pa</t>
  </si>
  <si>
    <t xml:space="preserve"> à 0,009 kg/ kg as</t>
  </si>
  <si>
    <t>(h-(2487*w))/((1,005+(1,88*w)))</t>
  </si>
  <si>
    <t>Formule 10</t>
  </si>
  <si>
    <t>((22,41/273)*(t+273))*((1/29)+((1/18)*w))</t>
  </si>
  <si>
    <t>m3 / kg as</t>
  </si>
  <si>
    <t>Pour T°C = 23,5 ; 0,009 kg/kgas</t>
  </si>
  <si>
    <t xml:space="preserve">NB : </t>
  </si>
  <si>
    <t>Humidité à saturation : Ws ; Ys ; Has</t>
  </si>
  <si>
    <t>Pression de l'air  : Pa</t>
  </si>
  <si>
    <t>Pression à saturation : Ps</t>
  </si>
  <si>
    <t>Enthalpie : h</t>
  </si>
  <si>
    <t>Tenpérature t : °C</t>
  </si>
  <si>
    <t>Température T :  °K = t + 273,15</t>
  </si>
  <si>
    <t>Température humide : th</t>
  </si>
  <si>
    <t>Point de rosée : tr</t>
  </si>
  <si>
    <t>Enthalpie à saturation : hs</t>
  </si>
  <si>
    <t xml:space="preserve">Enthalpie de l'eau à 0°C : 597,1 Kcal / kg ; 2500 KJ /kg </t>
  </si>
  <si>
    <t>Energie : 1 Kcal = 4,1855 KJ</t>
  </si>
  <si>
    <t>ex Ps :</t>
  </si>
  <si>
    <t>ex h :</t>
  </si>
  <si>
    <t>ex Pa :</t>
  </si>
  <si>
    <t>ex t  :</t>
  </si>
  <si>
    <t>ex tr :</t>
  </si>
  <si>
    <t>ex th :</t>
  </si>
  <si>
    <t>ex V :</t>
  </si>
  <si>
    <t>ex w :</t>
  </si>
  <si>
    <t xml:space="preserve">Patm =  </t>
  </si>
  <si>
    <t>kg /kg as</t>
  </si>
  <si>
    <t>23,5°C</t>
  </si>
  <si>
    <t>P =</t>
  </si>
  <si>
    <t>Ps =</t>
  </si>
  <si>
    <t>Formule 11</t>
  </si>
  <si>
    <t>Formule 12</t>
  </si>
  <si>
    <t>Formule 13</t>
  </si>
  <si>
    <t>KJ / kgas</t>
  </si>
  <si>
    <t>w =</t>
  </si>
  <si>
    <t>t=</t>
  </si>
  <si>
    <t xml:space="preserve">Chaleur sensible d'un kg d'air sec = has = Cpas. t </t>
  </si>
  <si>
    <t xml:space="preserve">Chaleur sensible de la vapeur d'eau = w.Cpv.t </t>
  </si>
  <si>
    <t>Chaleur latente de la vapeur d'eau = w.2490</t>
  </si>
  <si>
    <t>Formule 14</t>
  </si>
  <si>
    <t xml:space="preserve">Ps = </t>
  </si>
  <si>
    <t>t =</t>
  </si>
  <si>
    <t>Patm =</t>
  </si>
  <si>
    <t>Cpv   = 1,96 KJ / kg eau.K</t>
  </si>
  <si>
    <t>Lv      = 2490 KJ/kg eau</t>
  </si>
  <si>
    <t>Cpas = 1,000 KJ / kgas.K</t>
  </si>
  <si>
    <t>Memento air humide</t>
  </si>
  <si>
    <t>humidité = W ; Y ; Ha ; X ; r</t>
  </si>
  <si>
    <t>NB : rouge = formules utilisées dans le calcul d'air x</t>
  </si>
  <si>
    <t>Pa =</t>
  </si>
  <si>
    <r>
      <t>h = h</t>
    </r>
    <r>
      <rPr>
        <b/>
        <vertAlign val="subscript"/>
        <sz val="14"/>
        <color rgb="FF0000FF"/>
        <rFont val="Arial"/>
        <family val="2"/>
      </rPr>
      <t>as</t>
    </r>
    <r>
      <rPr>
        <b/>
        <sz val="14"/>
        <color rgb="FF0000FF"/>
        <rFont val="Arial"/>
        <family val="2"/>
      </rPr>
      <t xml:space="preserve"> +w . hv = 1,000 . θ + w . ( 2490 + 1,96 . θ )</t>
    </r>
    <r>
      <rPr>
        <sz val="14"/>
        <color rgb="FF0000FF"/>
        <rFont val="Arial"/>
        <family val="2"/>
      </rPr>
      <t xml:space="preserve"> en kJ/kg</t>
    </r>
    <r>
      <rPr>
        <vertAlign val="subscript"/>
        <sz val="14"/>
        <color rgb="FF0000FF"/>
        <rFont val="Arial"/>
        <family val="2"/>
      </rPr>
      <t>as</t>
    </r>
  </si>
  <si>
    <r>
      <t>w</t>
    </r>
    <r>
      <rPr>
        <sz val="14"/>
        <color rgb="FF0000FF"/>
        <rFont val="Arial"/>
        <family val="2"/>
      </rPr>
      <t xml:space="preserve"> </t>
    </r>
    <r>
      <rPr>
        <b/>
        <sz val="14"/>
        <color rgb="FF0000FF"/>
        <rFont val="Arial"/>
        <family val="2"/>
      </rPr>
      <t xml:space="preserve">= (18/29)*(P/($L$2-P)) </t>
    </r>
    <r>
      <rPr>
        <sz val="14"/>
        <color rgb="FF0000FF"/>
        <rFont val="Arial"/>
        <family val="2"/>
      </rPr>
      <t>kg /kg as</t>
    </r>
  </si>
  <si>
    <r>
      <t xml:space="preserve">Volume de l'air </t>
    </r>
    <r>
      <rPr>
        <sz val="14"/>
        <color rgb="FF0000FF"/>
        <rFont val="Arial"/>
        <family val="2"/>
      </rPr>
      <t>m3 / kg as</t>
    </r>
    <r>
      <rPr>
        <b/>
        <sz val="14"/>
        <color rgb="FF0000FF"/>
        <rFont val="Arial"/>
        <family val="2"/>
      </rPr>
      <t xml:space="preserve"> =</t>
    </r>
  </si>
  <si>
    <t>Température t°C de rosée Tr =</t>
  </si>
  <si>
    <t>Température humide t°C Th =</t>
  </si>
  <si>
    <t>P partielle de vapeur d'eau Pa =</t>
  </si>
  <si>
    <r>
      <t xml:space="preserve">Enthalpie h </t>
    </r>
    <r>
      <rPr>
        <sz val="14"/>
        <color rgb="FF0000FF"/>
        <rFont val="Arial"/>
        <family val="2"/>
      </rPr>
      <t>KCal / kg as</t>
    </r>
    <r>
      <rPr>
        <b/>
        <sz val="14"/>
        <color rgb="FF0000FF"/>
        <rFont val="Arial"/>
        <family val="2"/>
      </rPr>
      <t xml:space="preserve"> =</t>
    </r>
  </si>
  <si>
    <r>
      <t xml:space="preserve">Enthalpie h </t>
    </r>
    <r>
      <rPr>
        <sz val="14"/>
        <color rgb="FF0000FF"/>
        <rFont val="Arial"/>
        <family val="2"/>
      </rPr>
      <t>KJ / kg as</t>
    </r>
    <r>
      <rPr>
        <b/>
        <sz val="14"/>
        <color rgb="FF0000FF"/>
        <rFont val="Arial"/>
        <family val="2"/>
      </rPr>
      <t xml:space="preserve"> =</t>
    </r>
  </si>
  <si>
    <r>
      <t xml:space="preserve">Ps(T) </t>
    </r>
    <r>
      <rPr>
        <sz val="14"/>
        <color rgb="FF0000FF"/>
        <rFont val="Arial"/>
        <family val="2"/>
      </rPr>
      <t>Pa</t>
    </r>
    <r>
      <rPr>
        <b/>
        <sz val="14"/>
        <color rgb="FF0000FF"/>
        <rFont val="Arial"/>
        <family val="2"/>
      </rPr>
      <t>= 611,213 + 43,53 T + 1,598 T² + 0,0159 T</t>
    </r>
    <r>
      <rPr>
        <b/>
        <vertAlign val="superscript"/>
        <sz val="14"/>
        <color rgb="FF0000FF"/>
        <rFont val="Arial"/>
        <family val="2"/>
      </rPr>
      <t>3</t>
    </r>
    <r>
      <rPr>
        <b/>
        <sz val="14"/>
        <color rgb="FF0000FF"/>
        <rFont val="Arial"/>
        <family val="2"/>
      </rPr>
      <t xml:space="preserve"> + 0,000567 T</t>
    </r>
    <r>
      <rPr>
        <b/>
        <vertAlign val="superscript"/>
        <sz val="14"/>
        <color rgb="FF0000FF"/>
        <rFont val="Arial"/>
        <family val="2"/>
      </rPr>
      <t xml:space="preserve">4 </t>
    </r>
  </si>
  <si>
    <t>hr : humidité relative %</t>
  </si>
  <si>
    <t>TW = T*((H/100)*0,3362+0,6716)+((H/100)*6,0409-5,9852)</t>
  </si>
  <si>
    <t>Formule 15</t>
  </si>
  <si>
    <t>%hr</t>
  </si>
  <si>
    <t>&lt; 30°C</t>
  </si>
  <si>
    <t>fonction de Pa</t>
  </si>
  <si>
    <t>fonction de w et h</t>
  </si>
  <si>
    <t>Température t°C  =</t>
  </si>
  <si>
    <t>fonction de t et w</t>
  </si>
  <si>
    <t>fonction de h</t>
  </si>
  <si>
    <t>fonction de Ps</t>
  </si>
  <si>
    <r>
      <t>w = 287,1 . p</t>
    </r>
    <r>
      <rPr>
        <b/>
        <vertAlign val="subscript"/>
        <sz val="14"/>
        <color rgb="FF0000FF"/>
        <rFont val="Arial"/>
        <family val="2"/>
      </rPr>
      <t xml:space="preserve">v </t>
    </r>
    <r>
      <rPr>
        <b/>
        <sz val="14"/>
        <color rgb="FF0000FF"/>
        <rFont val="Arial"/>
        <family val="2"/>
      </rPr>
      <t>/ [ ( 461,5 . ( p – p</t>
    </r>
    <r>
      <rPr>
        <b/>
        <vertAlign val="subscript"/>
        <sz val="14"/>
        <color rgb="FF0000FF"/>
        <rFont val="Arial"/>
        <family val="2"/>
      </rPr>
      <t xml:space="preserve">v </t>
    </r>
    <r>
      <rPr>
        <b/>
        <sz val="14"/>
        <color rgb="FF0000FF"/>
        <rFont val="Arial"/>
        <family val="2"/>
      </rPr>
      <t>) ] = 0,622 . pv / (p – p</t>
    </r>
    <r>
      <rPr>
        <b/>
        <vertAlign val="subscript"/>
        <sz val="14"/>
        <color rgb="FF0000FF"/>
        <rFont val="Arial"/>
        <family val="2"/>
      </rPr>
      <t>v</t>
    </r>
    <r>
      <rPr>
        <b/>
        <sz val="14"/>
        <color rgb="FF0000FF"/>
        <rFont val="Arial"/>
        <family val="2"/>
      </rPr>
      <t>)</t>
    </r>
    <r>
      <rPr>
        <sz val="14"/>
        <color rgb="FF0000FF"/>
        <rFont val="Arial"/>
        <family val="2"/>
      </rPr>
      <t>  kg</t>
    </r>
    <r>
      <rPr>
        <vertAlign val="subscript"/>
        <sz val="14"/>
        <color rgb="FF0000FF"/>
        <rFont val="Arial"/>
        <family val="2"/>
      </rPr>
      <t>eau</t>
    </r>
    <r>
      <rPr>
        <sz val="14"/>
        <color rgb="FF0000FF"/>
        <rFont val="Arial"/>
        <family val="2"/>
      </rPr>
      <t>/ kg</t>
    </r>
    <r>
      <rPr>
        <vertAlign val="subscript"/>
        <sz val="14"/>
        <color rgb="FF0000FF"/>
        <rFont val="Arial"/>
        <family val="2"/>
      </rPr>
      <t>as</t>
    </r>
    <r>
      <rPr>
        <sz val="14"/>
        <color rgb="FF0000FF"/>
        <rFont val="Arial"/>
        <family val="2"/>
      </rPr>
      <t xml:space="preserve"> </t>
    </r>
  </si>
  <si>
    <t>fonction de Pa et Patm</t>
  </si>
  <si>
    <t>fonction de t et hr%</t>
  </si>
  <si>
    <t>fonction de w</t>
  </si>
  <si>
    <t>fonction de t</t>
  </si>
  <si>
    <t>isenthalpe 100%</t>
  </si>
  <si>
    <t>isotherme 100%</t>
  </si>
  <si>
    <t>Ws Ts -  humidité abs à la température sèche</t>
  </si>
  <si>
    <t>Th - température humide - pression de vapeur</t>
  </si>
  <si>
    <t>Tr - température de rosée - pression de vapeur</t>
  </si>
  <si>
    <t>Ws Th - humidité abs à la température humide</t>
  </si>
  <si>
    <t xml:space="preserve"> Diagramme de l'air humide</t>
  </si>
  <si>
    <t>Température</t>
  </si>
  <si>
    <t>Poids d'eau</t>
  </si>
  <si>
    <t>sèche (°C)</t>
  </si>
  <si>
    <t>(gr/kgAS)</t>
  </si>
  <si>
    <t>ts</t>
  </si>
  <si>
    <t>x</t>
  </si>
  <si>
    <t>entrée</t>
  </si>
  <si>
    <t>sortie</t>
  </si>
  <si>
    <t xml:space="preserve">Point d'entrée </t>
  </si>
  <si>
    <t xml:space="preserve">Point de sortie </t>
  </si>
  <si>
    <t>100000*(w/(w+0,62))</t>
  </si>
  <si>
    <t>coef psychrométrique</t>
  </si>
  <si>
    <t>Calcul psychromètre</t>
  </si>
  <si>
    <t>t °C</t>
  </si>
  <si>
    <t>th °C</t>
  </si>
  <si>
    <t>Psat exprimé en Pa</t>
  </si>
  <si>
    <t>Pair exprimé en Pa</t>
  </si>
  <si>
    <t>humidité relative en %hr</t>
  </si>
  <si>
    <t>humidité absolue gr/kg as</t>
  </si>
  <si>
    <t xml:space="preserve">Tracé d'une évolution sur le diagramme psychrométrique </t>
  </si>
  <si>
    <t>Ratio du poids moléculair air sec/vapeur d'eau</t>
  </si>
  <si>
    <t>NB : toutes les formules de l'air humide donnent des valeurs approchantes, fonction du type de diagramme utilisé ==&gt; toujours utiliser en valeur relatives ou en delta h.</t>
  </si>
  <si>
    <t>il faut intégrer la précision de la mesure de température qui est de l'ordre de +/- 0,5°C ==&gt; écart humidité hr +/- 1 à 2% et +/- 0,3 gr d'humidité absolue.</t>
  </si>
  <si>
    <t>Air ambiant</t>
  </si>
  <si>
    <t>Evaporation</t>
  </si>
  <si>
    <t>Caractéristiques de l'air ambiant</t>
  </si>
  <si>
    <t>Air sortie LV</t>
  </si>
  <si>
    <t>Pression partielle de vapeur dans l'air ambiant Pw</t>
  </si>
  <si>
    <t>Pression partielle de vapeur dans l'air entrant Pw</t>
  </si>
  <si>
    <t>Séchage dans un lit fluidisé</t>
  </si>
  <si>
    <t>Air entrée LF</t>
  </si>
  <si>
    <t>Caractéristiques de l'air entrée LF</t>
  </si>
  <si>
    <t>Caractéristiques de l'air sortie LF</t>
  </si>
  <si>
    <t>Pression partielle de vapeur dans l'air 1 Pw</t>
  </si>
  <si>
    <t>Pression partielle de vapeur dans l'air 2 Pw</t>
  </si>
  <si>
    <t>Pression partielle de vapeur dans l'air 3 Pw</t>
  </si>
  <si>
    <t>Pression partielle de vapeur dans l'air 4 Pw</t>
  </si>
  <si>
    <t>La mesure électronique de l'humidité relative est imprécise pour des valeurs &lt; 10%hr ==&gt; 3 à 10% de la mesure</t>
  </si>
  <si>
    <t>(kg / m3 as)</t>
  </si>
  <si>
    <t>Vérif T°C humide</t>
  </si>
  <si>
    <t>Combustion du gaz</t>
  </si>
  <si>
    <t>Produit fabriqué :</t>
  </si>
  <si>
    <t>Concentré traité :</t>
  </si>
  <si>
    <t>kg / h</t>
  </si>
  <si>
    <t>ltrs / h</t>
  </si>
  <si>
    <t>Extrait sec entrant :</t>
  </si>
  <si>
    <t>Extrait sec traité :</t>
  </si>
  <si>
    <t>Extrait sec poudre :</t>
  </si>
  <si>
    <t>Poudre produite :</t>
  </si>
  <si>
    <t>Humidité poudre :</t>
  </si>
  <si>
    <t>P. buses :</t>
  </si>
  <si>
    <t>bar</t>
  </si>
  <si>
    <t>Nb buses</t>
  </si>
  <si>
    <t>bars</t>
  </si>
  <si>
    <t>Débit buse au prod</t>
  </si>
  <si>
    <t>Débit buse à l'eau</t>
  </si>
  <si>
    <t>Densité</t>
  </si>
  <si>
    <t>Pression 2</t>
  </si>
  <si>
    <t>Débit 2</t>
  </si>
  <si>
    <t>2 buses</t>
  </si>
  <si>
    <t>Air entrée Tour</t>
  </si>
  <si>
    <t>Air sortie Tour</t>
  </si>
  <si>
    <t>Air entrée tour après combustion</t>
  </si>
  <si>
    <t>litres /h</t>
  </si>
  <si>
    <t>litres / h</t>
  </si>
  <si>
    <t>3 buses</t>
  </si>
  <si>
    <t>kg/ltr</t>
  </si>
  <si>
    <t>1ère buse à environ 150°C</t>
  </si>
  <si>
    <t>Base Spraying System</t>
  </si>
  <si>
    <t>1 mol de CH4 donc 0,0224 m cube produira 2 mol d’eau soit (2 x 18 g / mol) = 36 grammes d’eau</t>
  </si>
  <si>
    <t>Donc 1 m cube de CH4 produiront : 36 / 0,0224 = 1607 grammes d’eau soit 1,6 kg. Sachant que la masse volumique de l’eau est de 1 kg / litre à environ 4 °C.</t>
  </si>
  <si>
    <t>Nous pouvons raisonnablement dire que 1 m cube de CH4 produit environ 1,6 Litres d’eau sous forme d’eau liquide (l’eau pouvant être sous forme de vapeur).</t>
  </si>
  <si>
    <t>kg H2O2</t>
  </si>
  <si>
    <t xml:space="preserve">kWh </t>
  </si>
  <si>
    <t>Le méthane est un combustible qui compose jusqu'à 90 % le gaz naturel.</t>
  </si>
  <si>
    <t>Présent à tous les stades de l'industrie pétrolière, mais mal valorisé, il est fréquemment brûlé en torchère, ce qui contribue à l'effet de serre (les pétroliers restreignent donc ce procédé).</t>
  </si>
  <si>
    <t>Son point d'auto-inflammation dans l'air est de 540 °C50. La réaction de combustion du méthane s'écrit :</t>
  </si>
  <si>
    <t xml:space="preserve">Le gaz naturel, (constitué à plus de 90 % de méthane) est transporté par navires (méthaniers) à une température de −162 °C et à une pression voisine de la </t>
  </si>
  <si>
    <t xml:space="preserve">pression atmosphérique. Les réservoirs sont construits sur le principe de la bouteille isotherme et leur capacité peut aller jusqu'à 200 000 m3 de gaz liquide par réservoir. </t>
  </si>
  <si>
    <t xml:space="preserve">Un méthanier comportant plusieurs réservoirs, sa cargaison peut actuellement atteindre 154 000 m3 de GNL, Gaz Naturel Liquéfié. Les futurs méthaniers pourront transporter jusqu'à </t>
  </si>
  <si>
    <t>260 000 m3 de GNL. Le volume du méthane à l'état gazeux est égal à 600 fois son volume à l'état liquide, à pression atmosphérique.</t>
  </si>
  <si>
    <r>
      <t>La combustion du méthane à 25 °C libère une énergie de 39,77 MJ/m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(55,53 MJ/kg)a, soit 11,05 kWh/m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(15,42 kWh/kg)b.</t>
    </r>
  </si>
  <si>
    <r>
      <t>CH</t>
    </r>
    <r>
      <rPr>
        <b/>
        <vertAlign val="subscript"/>
        <sz val="11"/>
        <rFont val="Arial"/>
        <family val="2"/>
      </rPr>
      <t>4</t>
    </r>
    <r>
      <rPr>
        <b/>
        <sz val="11"/>
        <rFont val="Arial"/>
        <family val="2"/>
      </rPr>
      <t xml:space="preserve"> + 2 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→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+ 2 H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O.</t>
    </r>
  </si>
  <si>
    <t>(isenthalpe)</t>
  </si>
  <si>
    <t>Eau combustion du gaz</t>
  </si>
  <si>
    <t>Type buses</t>
  </si>
  <si>
    <t>Caractéristiques de l'air entrée tour</t>
  </si>
  <si>
    <t>Caractéristiques de l'air sortie tour</t>
  </si>
  <si>
    <t xml:space="preserve"> +/- 1</t>
  </si>
  <si>
    <t>Pression référence</t>
  </si>
  <si>
    <t>f = facteur produit</t>
  </si>
  <si>
    <t>A X 1000</t>
  </si>
  <si>
    <t xml:space="preserve">Chaleur nécessaire à la vaporisation </t>
  </si>
  <si>
    <t>Kcal</t>
  </si>
  <si>
    <t>Voir fichier "Couts 1 tonne de vapeur.xls</t>
  </si>
  <si>
    <t>Nm3</t>
  </si>
  <si>
    <t>Prix du gaz</t>
  </si>
  <si>
    <t>€ / MWh</t>
  </si>
  <si>
    <t>Coût primaire de la tonne de vapeur</t>
  </si>
  <si>
    <t>€ / tonne</t>
  </si>
  <si>
    <t>Coût de la tonne de vapeur</t>
  </si>
  <si>
    <t xml:space="preserve">Chaleur nécessaire à la vaporisation après rendement </t>
  </si>
  <si>
    <t xml:space="preserve">Kcal/kWh </t>
  </si>
  <si>
    <t>Besoin en énergie Pci (pas de condensation)</t>
  </si>
  <si>
    <t>Besoin en énergie équivalent Pcs (facturation)</t>
  </si>
  <si>
    <t>Séchage tour 1tps à gaz direct</t>
  </si>
  <si>
    <t>Chaudière à tubes de fumées sans économiseur ==&gt; pas de condensation</t>
  </si>
  <si>
    <t>Rejet CO2</t>
  </si>
  <si>
    <t>g/kWh</t>
  </si>
  <si>
    <t>kg</t>
  </si>
  <si>
    <t>Enthalpie d'une tonne de vapeur</t>
  </si>
  <si>
    <t>Enthalpie moyenne de l'eau d'alimentation chaudière</t>
  </si>
  <si>
    <t>Calcul consommation de gaz naturel pour 1 tonne de vapeur à 16 bar (17 bar abs)</t>
  </si>
  <si>
    <t>Besoin en CH4 (base gaz de Lacq)</t>
  </si>
  <si>
    <t>Chaudière à tubes de fumées avec économiseur ==&gt; pas de condensation</t>
  </si>
  <si>
    <t>Gain économiseur (environ 30°C sur l'eau d'alimentation)</t>
  </si>
  <si>
    <t>Coût divers + entretien + investissement (40 t /h)( 0,30 à 0,5 €/t)</t>
  </si>
  <si>
    <t>Gain possible avec récupérateur air/eau/air = 15%</t>
  </si>
  <si>
    <t xml:space="preserve">Patm : </t>
  </si>
  <si>
    <t xml:space="preserve">Vérif CH4 </t>
  </si>
  <si>
    <t>Pertes paroi et fuites = 5 à 7%</t>
  </si>
  <si>
    <t>XXX</t>
  </si>
  <si>
    <t>m3 Pci</t>
  </si>
  <si>
    <t>angle = 82°</t>
  </si>
  <si>
    <t>SB B49/P27/425</t>
  </si>
  <si>
    <t>Prix du gaz PCs</t>
  </si>
  <si>
    <t>Besoin en énergie équivalent PCs (facturation)</t>
  </si>
  <si>
    <t>Kcal/Nm3 PCi</t>
  </si>
  <si>
    <t>Kcal/Nm3 PCs</t>
  </si>
  <si>
    <t>kWh PCi</t>
  </si>
  <si>
    <t>kWh PCs</t>
  </si>
  <si>
    <t>Simulation avec température d'entrée régulée</t>
  </si>
  <si>
    <t>Air 3 (Chambre)</t>
  </si>
  <si>
    <t>Air 4 = mélange 2 + 3 (Sortie)</t>
  </si>
  <si>
    <t>Air 1 (Filtre amont)</t>
  </si>
  <si>
    <t>Air 2 (Lit statique)</t>
  </si>
  <si>
    <t>Voir diagramme ci-dessous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</si>
</sst>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0.000"/>
    <numFmt numFmtId="165" formatCode="#,##0.000"/>
    <numFmt numFmtId="166" formatCode="0.0000"/>
    <numFmt numFmtId="167" formatCode="0.0"/>
    <numFmt numFmtId="168" formatCode="0.0000&quot; kg/kgas&quot;"/>
    <numFmt numFmtId="169" formatCode="0.0&quot; °c&quot;"/>
    <numFmt numFmtId="170" formatCode="0.00&quot; °c&quot;"/>
    <numFmt numFmtId="171" formatCode="0.00000"/>
    <numFmt numFmtId="172" formatCode="#,##0.00000"/>
    <numFmt numFmtId="173" formatCode="#,##0.00000000"/>
    <numFmt numFmtId="174" formatCode="0.0000&quot; kg / kg as&quot;"/>
    <numFmt numFmtId="175" formatCode="#,##0.0"/>
    <numFmt numFmtId="176" formatCode="#,##0\ &quot;°C&quot;;\-#,##0\ &quot;°C&quot;"/>
    <numFmt numFmtId="177" formatCode="#,##0.00\ &quot;gr/kg&quot;;\-#,##0.00\ &quot;gr/kg&quot;"/>
    <numFmt numFmtId="178" formatCode="#,##0\ &quot;% HR&quot;;\-#,##0\ &quot;% HR&quot;"/>
    <numFmt numFmtId="179" formatCode="#,##0.00\ &quot;m3/kg&quot;;\-#,##0.00\ &quot;m3/kg&quot;"/>
    <numFmt numFmtId="180" formatCode="#,##0\ &quot;kj/kg&quot;;\-#,##0\ &quot;kj/kg&quot;"/>
    <numFmt numFmtId="181" formatCode="&quot;(&quot;0.000&quot;)&quot;"/>
    <numFmt numFmtId="182" formatCode="#,##0.0&quot; %&quot;"/>
  </numFmts>
  <fonts count="6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sz val="10"/>
      <name val="Comic Sans MS"/>
      <family val="4"/>
    </font>
    <font>
      <sz val="14"/>
      <color indexed="10"/>
      <name val="Arial"/>
      <family val="2"/>
    </font>
    <font>
      <sz val="16"/>
      <color rgb="FF1B1B21"/>
      <name val="Arial"/>
      <family val="2"/>
    </font>
    <font>
      <b/>
      <sz val="22"/>
      <color rgb="FF0070C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6"/>
      <color theme="1"/>
      <name val="Arial"/>
      <family val="2"/>
    </font>
    <font>
      <b/>
      <sz val="11"/>
      <color rgb="FFFF0000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b/>
      <sz val="14"/>
      <color theme="1"/>
      <name val="Arial"/>
      <family val="2"/>
    </font>
    <font>
      <sz val="14"/>
      <color rgb="FF008000"/>
      <name val="Arial"/>
      <family val="2"/>
    </font>
    <font>
      <sz val="11"/>
      <color rgb="FF008000"/>
      <name val="Arial"/>
      <family val="2"/>
    </font>
    <font>
      <sz val="16"/>
      <color rgb="FF008000"/>
      <name val="Arial"/>
      <family val="2"/>
    </font>
    <font>
      <b/>
      <sz val="14"/>
      <color rgb="FF008000"/>
      <name val="Arial"/>
      <family val="2"/>
    </font>
    <font>
      <sz val="14"/>
      <color rgb="FFFF0000"/>
      <name val="Arial"/>
      <family val="2"/>
    </font>
    <font>
      <b/>
      <sz val="16"/>
      <color rgb="FF303030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2"/>
      <color rgb="FF008000"/>
      <name val="Arial"/>
      <family val="2"/>
    </font>
    <font>
      <sz val="12"/>
      <color rgb="FF26282A"/>
      <name val="Arial"/>
      <family val="2"/>
    </font>
    <font>
      <b/>
      <sz val="18"/>
      <name val="Arial"/>
      <family val="2"/>
    </font>
    <font>
      <b/>
      <vertAlign val="superscript"/>
      <sz val="14"/>
      <color rgb="FF0000FF"/>
      <name val="Arial"/>
      <family val="2"/>
    </font>
    <font>
      <b/>
      <vertAlign val="subscript"/>
      <sz val="14"/>
      <color rgb="FF0000FF"/>
      <name val="Arial"/>
      <family val="2"/>
    </font>
    <font>
      <sz val="14"/>
      <color rgb="FF0000FF"/>
      <name val="Arial"/>
      <family val="2"/>
    </font>
    <font>
      <vertAlign val="subscript"/>
      <sz val="14"/>
      <color rgb="FF0000FF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b/>
      <sz val="10"/>
      <color rgb="FF0070C0"/>
      <name val="Arial"/>
      <family val="2"/>
    </font>
    <font>
      <b/>
      <sz val="18"/>
      <color rgb="FF0070C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sz val="11"/>
      <color indexed="12"/>
      <name val="Arial"/>
      <family val="2"/>
    </font>
    <font>
      <sz val="11"/>
      <color indexed="1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Arial"/>
      <family val="2"/>
    </font>
    <font>
      <b/>
      <vertAlign val="superscript"/>
      <sz val="11"/>
      <name val="Arial"/>
      <family val="2"/>
    </font>
    <font>
      <b/>
      <vertAlign val="subscript"/>
      <sz val="11"/>
      <name val="Arial"/>
      <family val="2"/>
    </font>
    <font>
      <sz val="11"/>
      <color rgb="FFFF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0" fillId="0" borderId="0"/>
  </cellStyleXfs>
  <cellXfs count="432">
    <xf numFmtId="0" fontId="0" fillId="0" borderId="0" xfId="0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7" xfId="0" applyFont="1" applyFill="1" applyBorder="1" applyProtection="1">
      <protection locked="0"/>
    </xf>
    <xf numFmtId="0" fontId="1" fillId="2" borderId="9" xfId="0" applyFont="1" applyFill="1" applyBorder="1"/>
    <xf numFmtId="2" fontId="5" fillId="2" borderId="8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166" fontId="1" fillId="2" borderId="11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2" fontId="1" fillId="2" borderId="9" xfId="0" applyNumberFormat="1" applyFont="1" applyFill="1" applyBorder="1"/>
    <xf numFmtId="2" fontId="1" fillId="2" borderId="11" xfId="0" applyNumberFormat="1" applyFont="1" applyFill="1" applyBorder="1"/>
    <xf numFmtId="3" fontId="1" fillId="2" borderId="11" xfId="0" applyNumberFormat="1" applyFont="1" applyFill="1" applyBorder="1"/>
    <xf numFmtId="3" fontId="1" fillId="2" borderId="10" xfId="0" applyNumberFormat="1" applyFont="1" applyFill="1" applyBorder="1"/>
    <xf numFmtId="0" fontId="6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Continuous"/>
      <protection locked="0"/>
    </xf>
    <xf numFmtId="0" fontId="3" fillId="2" borderId="0" xfId="0" applyFont="1" applyFill="1" applyAlignment="1" applyProtection="1">
      <alignment horizontal="centerContinuous"/>
      <protection locked="0"/>
    </xf>
    <xf numFmtId="0" fontId="3" fillId="2" borderId="7" xfId="0" applyFont="1" applyFill="1" applyBorder="1" applyAlignment="1" applyProtection="1">
      <alignment horizontal="centerContinuous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2" fontId="5" fillId="2" borderId="13" xfId="0" applyNumberFormat="1" applyFont="1" applyFill="1" applyBorder="1" applyAlignment="1" applyProtection="1">
      <alignment vertical="center"/>
      <protection locked="0"/>
    </xf>
    <xf numFmtId="164" fontId="1" fillId="2" borderId="13" xfId="0" applyNumberFormat="1" applyFont="1" applyFill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vertical="center"/>
      <protection locked="0"/>
    </xf>
    <xf numFmtId="170" fontId="3" fillId="2" borderId="0" xfId="0" applyNumberFormat="1" applyFont="1" applyFill="1" applyAlignment="1" applyProtection="1">
      <alignment vertical="center"/>
      <protection locked="0"/>
    </xf>
    <xf numFmtId="3" fontId="1" fillId="2" borderId="0" xfId="0" applyNumberFormat="1" applyFont="1" applyFill="1" applyAlignment="1">
      <alignment vertical="center"/>
    </xf>
    <xf numFmtId="0" fontId="1" fillId="2" borderId="10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vertical="center"/>
      <protection locked="0"/>
    </xf>
    <xf numFmtId="0" fontId="8" fillId="2" borderId="11" xfId="0" applyFont="1" applyFill="1" applyBorder="1" applyAlignment="1" applyProtection="1">
      <alignment vertical="center"/>
      <protection locked="0"/>
    </xf>
    <xf numFmtId="0" fontId="9" fillId="2" borderId="11" xfId="0" applyFont="1" applyFill="1" applyBorder="1" applyAlignment="1" applyProtection="1">
      <alignment vertical="center"/>
      <protection locked="0"/>
    </xf>
    <xf numFmtId="167" fontId="8" fillId="2" borderId="11" xfId="0" applyNumberFormat="1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4" fontId="10" fillId="3" borderId="0" xfId="1" applyNumberFormat="1" applyFont="1" applyFill="1" applyAlignment="1">
      <alignment horizontal="center"/>
    </xf>
    <xf numFmtId="4" fontId="10" fillId="0" borderId="0" xfId="1" applyNumberFormat="1" applyFont="1" applyAlignment="1">
      <alignment horizontal="center"/>
    </xf>
    <xf numFmtId="171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3" borderId="0" xfId="1" applyFont="1" applyFill="1" applyAlignment="1">
      <alignment horizontal="center"/>
    </xf>
    <xf numFmtId="0" fontId="10" fillId="0" borderId="0" xfId="1" applyFont="1" applyAlignment="1">
      <alignment horizontal="left"/>
    </xf>
    <xf numFmtId="4" fontId="10" fillId="3" borderId="0" xfId="1" applyNumberFormat="1" applyFont="1" applyFill="1"/>
    <xf numFmtId="4" fontId="10" fillId="0" borderId="0" xfId="1" applyNumberFormat="1" applyFont="1"/>
    <xf numFmtId="171" fontId="10" fillId="0" borderId="0" xfId="1" applyNumberFormat="1" applyFont="1"/>
    <xf numFmtId="165" fontId="10" fillId="0" borderId="0" xfId="1" applyNumberFormat="1" applyFont="1"/>
    <xf numFmtId="172" fontId="10" fillId="0" borderId="0" xfId="1" applyNumberFormat="1" applyFont="1"/>
    <xf numFmtId="0" fontId="10" fillId="0" borderId="0" xfId="1" applyFont="1"/>
    <xf numFmtId="173" fontId="10" fillId="0" borderId="0" xfId="1" applyNumberFormat="1" applyFont="1"/>
    <xf numFmtId="4" fontId="10" fillId="5" borderId="0" xfId="1" applyNumberFormat="1" applyFont="1" applyFill="1"/>
    <xf numFmtId="171" fontId="10" fillId="5" borderId="0" xfId="1" applyNumberFormat="1" applyFont="1" applyFill="1"/>
    <xf numFmtId="165" fontId="10" fillId="5" borderId="0" xfId="1" applyNumberFormat="1" applyFont="1" applyFill="1"/>
    <xf numFmtId="0" fontId="1" fillId="0" borderId="0" xfId="1"/>
    <xf numFmtId="0" fontId="1" fillId="2" borderId="13" xfId="0" applyFont="1" applyFill="1" applyBorder="1" applyAlignment="1" applyProtection="1">
      <alignment horizontal="left" vertical="center"/>
      <protection locked="0"/>
    </xf>
    <xf numFmtId="169" fontId="1" fillId="2" borderId="0" xfId="0" applyNumberFormat="1" applyFont="1" applyFill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vertical="center"/>
      <protection locked="0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left"/>
    </xf>
    <xf numFmtId="174" fontId="1" fillId="2" borderId="0" xfId="0" applyNumberFormat="1" applyFont="1" applyFill="1" applyAlignment="1" applyProtection="1">
      <alignment horizontal="center" vertical="center"/>
      <protection locked="0"/>
    </xf>
    <xf numFmtId="0" fontId="19" fillId="0" borderId="0" xfId="0" applyFont="1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2" fillId="0" borderId="0" xfId="0" applyFont="1" applyAlignment="1">
      <alignment horizontal="left" wrapText="1" indent="1"/>
    </xf>
    <xf numFmtId="0" fontId="30" fillId="0" borderId="0" xfId="0" applyFont="1"/>
    <xf numFmtId="0" fontId="20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2" xfId="0" applyFont="1" applyBorder="1"/>
    <xf numFmtId="0" fontId="14" fillId="0" borderId="4" xfId="0" applyFont="1" applyBorder="1"/>
    <xf numFmtId="0" fontId="14" fillId="0" borderId="3" xfId="0" applyFont="1" applyBorder="1"/>
    <xf numFmtId="0" fontId="20" fillId="0" borderId="6" xfId="0" applyFont="1" applyBorder="1"/>
    <xf numFmtId="0" fontId="14" fillId="0" borderId="7" xfId="0" applyFont="1" applyBorder="1"/>
    <xf numFmtId="0" fontId="14" fillId="0" borderId="6" xfId="0" applyFont="1" applyBorder="1"/>
    <xf numFmtId="0" fontId="25" fillId="0" borderId="9" xfId="0" applyFont="1" applyBorder="1" applyAlignment="1">
      <alignment horizontal="right"/>
    </xf>
    <xf numFmtId="3" fontId="22" fillId="0" borderId="11" xfId="0" applyNumberFormat="1" applyFont="1" applyBorder="1"/>
    <xf numFmtId="0" fontId="14" fillId="0" borderId="11" xfId="0" applyFont="1" applyBorder="1"/>
    <xf numFmtId="0" fontId="14" fillId="0" borderId="10" xfId="0" applyFont="1" applyBorder="1"/>
    <xf numFmtId="0" fontId="20" fillId="0" borderId="2" xfId="0" applyFont="1" applyBorder="1"/>
    <xf numFmtId="175" fontId="22" fillId="0" borderId="11" xfId="0" applyNumberFormat="1" applyFont="1" applyBorder="1"/>
    <xf numFmtId="3" fontId="19" fillId="0" borderId="0" xfId="0" applyNumberFormat="1" applyFont="1"/>
    <xf numFmtId="0" fontId="21" fillId="0" borderId="4" xfId="0" applyFont="1" applyBorder="1"/>
    <xf numFmtId="0" fontId="29" fillId="0" borderId="9" xfId="0" applyFont="1" applyBorder="1" applyAlignment="1">
      <alignment horizontal="right"/>
    </xf>
    <xf numFmtId="164" fontId="22" fillId="0" borderId="11" xfId="0" applyNumberFormat="1" applyFont="1" applyBorder="1"/>
    <xf numFmtId="0" fontId="22" fillId="0" borderId="11" xfId="0" applyFont="1" applyBorder="1"/>
    <xf numFmtId="0" fontId="23" fillId="0" borderId="11" xfId="0" applyFont="1" applyBorder="1"/>
    <xf numFmtId="166" fontId="22" fillId="0" borderId="11" xfId="0" applyNumberFormat="1" applyFont="1" applyBorder="1"/>
    <xf numFmtId="0" fontId="31" fillId="0" borderId="4" xfId="0" applyFont="1" applyBorder="1"/>
    <xf numFmtId="2" fontId="24" fillId="0" borderId="11" xfId="0" applyNumberFormat="1" applyFont="1" applyBorder="1"/>
    <xf numFmtId="0" fontId="16" fillId="0" borderId="0" xfId="0" applyFont="1" applyAlignment="1">
      <alignment horizontal="center" wrapText="1"/>
    </xf>
    <xf numFmtId="167" fontId="22" fillId="0" borderId="11" xfId="0" applyNumberFormat="1" applyFont="1" applyBorder="1"/>
    <xf numFmtId="0" fontId="26" fillId="0" borderId="11" xfId="0" applyFont="1" applyBorder="1"/>
    <xf numFmtId="0" fontId="25" fillId="0" borderId="6" xfId="0" applyFont="1" applyBorder="1" applyAlignment="1">
      <alignment horizontal="right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14" fillId="0" borderId="9" xfId="0" applyFont="1" applyBorder="1"/>
    <xf numFmtId="171" fontId="22" fillId="0" borderId="11" xfId="0" applyNumberFormat="1" applyFont="1" applyBorder="1"/>
    <xf numFmtId="0" fontId="22" fillId="0" borderId="11" xfId="0" applyFont="1" applyBorder="1" applyAlignment="1">
      <alignment horizontal="right"/>
    </xf>
    <xf numFmtId="2" fontId="22" fillId="0" borderId="0" xfId="0" applyNumberFormat="1" applyFont="1"/>
    <xf numFmtId="166" fontId="22" fillId="0" borderId="0" xfId="0" applyNumberFormat="1" applyFont="1" applyAlignment="1">
      <alignment horizontal="left"/>
    </xf>
    <xf numFmtId="175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11" xfId="0" applyFont="1" applyBorder="1" applyAlignment="1">
      <alignment horizontal="left"/>
    </xf>
    <xf numFmtId="0" fontId="29" fillId="0" borderId="6" xfId="0" applyFont="1" applyBorder="1" applyAlignment="1">
      <alignment horizontal="right"/>
    </xf>
    <xf numFmtId="171" fontId="22" fillId="0" borderId="0" xfId="0" applyNumberFormat="1" applyFont="1"/>
    <xf numFmtId="169" fontId="22" fillId="0" borderId="0" xfId="0" applyNumberFormat="1" applyFont="1"/>
    <xf numFmtId="0" fontId="33" fillId="0" borderId="0" xfId="0" applyFont="1" applyAlignment="1">
      <alignment horizontal="right"/>
    </xf>
    <xf numFmtId="0" fontId="34" fillId="0" borderId="0" xfId="0" applyFont="1"/>
    <xf numFmtId="0" fontId="35" fillId="0" borderId="12" xfId="0" applyFont="1" applyBorder="1" applyAlignment="1">
      <alignment horizontal="centerContinuous"/>
    </xf>
    <xf numFmtId="0" fontId="14" fillId="0" borderId="13" xfId="0" applyFont="1" applyBorder="1" applyAlignment="1">
      <alignment horizontal="centerContinuous"/>
    </xf>
    <xf numFmtId="0" fontId="14" fillId="0" borderId="14" xfId="0" applyFont="1" applyBorder="1"/>
    <xf numFmtId="0" fontId="20" fillId="0" borderId="4" xfId="0" applyFont="1" applyBorder="1"/>
    <xf numFmtId="0" fontId="20" fillId="0" borderId="4" xfId="0" applyFont="1" applyBorder="1" applyAlignment="1">
      <alignment horizontal="right"/>
    </xf>
    <xf numFmtId="0" fontId="32" fillId="0" borderId="4" xfId="0" applyFont="1" applyBorder="1"/>
    <xf numFmtId="0" fontId="20" fillId="0" borderId="0" xfId="0" applyFont="1" applyAlignment="1">
      <alignment horizontal="right"/>
    </xf>
    <xf numFmtId="0" fontId="20" fillId="0" borderId="0" xfId="0" applyFont="1"/>
    <xf numFmtId="0" fontId="32" fillId="0" borderId="0" xfId="0" applyFont="1"/>
    <xf numFmtId="1" fontId="22" fillId="0" borderId="0" xfId="0" applyNumberFormat="1" applyFont="1"/>
    <xf numFmtId="2" fontId="22" fillId="0" borderId="11" xfId="0" applyNumberFormat="1" applyFont="1" applyBorder="1" applyAlignment="1">
      <alignment horizontal="right" wrapText="1" indent="1"/>
    </xf>
    <xf numFmtId="0" fontId="29" fillId="0" borderId="4" xfId="0" applyFont="1" applyBorder="1"/>
    <xf numFmtId="0" fontId="23" fillId="0" borderId="4" xfId="0" applyFont="1" applyBorder="1"/>
    <xf numFmtId="164" fontId="23" fillId="0" borderId="0" xfId="0" applyNumberFormat="1" applyFont="1"/>
    <xf numFmtId="0" fontId="14" fillId="0" borderId="4" xfId="0" applyFont="1" applyBorder="1" applyAlignment="1">
      <alignment horizontal="center"/>
    </xf>
    <xf numFmtId="0" fontId="40" fillId="0" borderId="0" xfId="2"/>
    <xf numFmtId="0" fontId="40" fillId="0" borderId="0" xfId="2" applyAlignment="1">
      <alignment horizontal="center"/>
    </xf>
    <xf numFmtId="0" fontId="40" fillId="6" borderId="1" xfId="2" applyFill="1" applyBorder="1" applyAlignment="1">
      <alignment horizontal="center"/>
    </xf>
    <xf numFmtId="0" fontId="40" fillId="6" borderId="8" xfId="2" applyFill="1" applyBorder="1" applyAlignment="1">
      <alignment horizontal="center"/>
    </xf>
    <xf numFmtId="0" fontId="41" fillId="0" borderId="15" xfId="2" applyFont="1" applyBorder="1" applyAlignment="1">
      <alignment horizontal="center"/>
    </xf>
    <xf numFmtId="176" fontId="1" fillId="0" borderId="0" xfId="2" applyNumberFormat="1" applyFont="1"/>
    <xf numFmtId="177" fontId="1" fillId="0" borderId="0" xfId="2" applyNumberFormat="1" applyFont="1"/>
    <xf numFmtId="178" fontId="40" fillId="0" borderId="0" xfId="2" applyNumberFormat="1"/>
    <xf numFmtId="179" fontId="40" fillId="0" borderId="0" xfId="2" applyNumberFormat="1"/>
    <xf numFmtId="180" fontId="40" fillId="0" borderId="0" xfId="2" applyNumberFormat="1"/>
    <xf numFmtId="176" fontId="40" fillId="0" borderId="0" xfId="2" applyNumberFormat="1"/>
    <xf numFmtId="177" fontId="40" fillId="0" borderId="0" xfId="2" applyNumberFormat="1"/>
    <xf numFmtId="0" fontId="42" fillId="0" borderId="0" xfId="2" applyFont="1"/>
    <xf numFmtId="0" fontId="43" fillId="0" borderId="0" xfId="2" applyFont="1"/>
    <xf numFmtId="0" fontId="1" fillId="6" borderId="15" xfId="2" applyFont="1" applyFill="1" applyBorder="1" applyAlignment="1">
      <alignment horizontal="left"/>
    </xf>
    <xf numFmtId="167" fontId="14" fillId="0" borderId="0" xfId="0" applyNumberFormat="1" applyFont="1"/>
    <xf numFmtId="0" fontId="42" fillId="0" borderId="2" xfId="0" applyFont="1" applyBorder="1"/>
    <xf numFmtId="0" fontId="42" fillId="0" borderId="2" xfId="0" applyFont="1" applyBorder="1" applyAlignment="1">
      <alignment vertical="center"/>
    </xf>
    <xf numFmtId="0" fontId="44" fillId="4" borderId="6" xfId="0" applyFont="1" applyFill="1" applyBorder="1"/>
    <xf numFmtId="0" fontId="44" fillId="0" borderId="0" xfId="0" applyFont="1"/>
    <xf numFmtId="0" fontId="44" fillId="0" borderId="7" xfId="0" applyFont="1" applyBorder="1"/>
    <xf numFmtId="167" fontId="44" fillId="4" borderId="6" xfId="0" applyNumberFormat="1" applyFont="1" applyFill="1" applyBorder="1"/>
    <xf numFmtId="171" fontId="44" fillId="4" borderId="6" xfId="0" applyNumberFormat="1" applyFont="1" applyFill="1" applyBorder="1"/>
    <xf numFmtId="3" fontId="44" fillId="0" borderId="6" xfId="0" applyNumberFormat="1" applyFont="1" applyBorder="1"/>
    <xf numFmtId="3" fontId="44" fillId="0" borderId="0" xfId="0" applyNumberFormat="1" applyFont="1"/>
    <xf numFmtId="1" fontId="44" fillId="0" borderId="6" xfId="0" applyNumberFormat="1" applyFont="1" applyBorder="1"/>
    <xf numFmtId="167" fontId="44" fillId="0" borderId="9" xfId="0" applyNumberFormat="1" applyFont="1" applyBorder="1"/>
    <xf numFmtId="0" fontId="44" fillId="0" borderId="11" xfId="0" applyFont="1" applyBorder="1"/>
    <xf numFmtId="0" fontId="44" fillId="0" borderId="10" xfId="0" applyFont="1" applyBorder="1"/>
    <xf numFmtId="0" fontId="14" fillId="0" borderId="4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167" fontId="14" fillId="4" borderId="6" xfId="0" applyNumberFormat="1" applyFont="1" applyFill="1" applyBorder="1" applyAlignment="1">
      <alignment vertical="center"/>
    </xf>
    <xf numFmtId="171" fontId="14" fillId="4" borderId="6" xfId="0" applyNumberFormat="1" applyFont="1" applyFill="1" applyBorder="1" applyAlignment="1">
      <alignment vertical="center"/>
    </xf>
    <xf numFmtId="3" fontId="14" fillId="0" borderId="6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64" fontId="14" fillId="4" borderId="0" xfId="0" applyNumberFormat="1" applyFont="1" applyFill="1" applyAlignment="1">
      <alignment vertical="center"/>
    </xf>
    <xf numFmtId="0" fontId="18" fillId="0" borderId="0" xfId="0" applyFont="1"/>
    <xf numFmtId="1" fontId="14" fillId="0" borderId="9" xfId="0" applyNumberFormat="1" applyFont="1" applyBorder="1" applyAlignment="1">
      <alignment vertical="center"/>
    </xf>
    <xf numFmtId="1" fontId="14" fillId="0" borderId="6" xfId="0" applyNumberFormat="1" applyFont="1" applyBorder="1" applyAlignment="1">
      <alignment vertical="center"/>
    </xf>
    <xf numFmtId="164" fontId="46" fillId="2" borderId="4" xfId="0" applyNumberFormat="1" applyFont="1" applyFill="1" applyBorder="1" applyAlignment="1">
      <alignment horizontal="center" vertical="center"/>
    </xf>
    <xf numFmtId="2" fontId="46" fillId="2" borderId="4" xfId="0" applyNumberFormat="1" applyFont="1" applyFill="1" applyBorder="1" applyAlignment="1">
      <alignment horizontal="center" vertical="center"/>
    </xf>
    <xf numFmtId="3" fontId="46" fillId="2" borderId="3" xfId="0" applyNumberFormat="1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horizontal="right" vertical="center"/>
    </xf>
    <xf numFmtId="0" fontId="46" fillId="2" borderId="5" xfId="0" applyFont="1" applyFill="1" applyBorder="1" applyAlignment="1">
      <alignment vertical="center"/>
    </xf>
    <xf numFmtId="0" fontId="46" fillId="2" borderId="0" xfId="0" applyFont="1" applyFill="1" applyAlignment="1">
      <alignment vertical="center"/>
    </xf>
    <xf numFmtId="166" fontId="45" fillId="2" borderId="0" xfId="0" applyNumberFormat="1" applyFont="1" applyFill="1" applyAlignment="1">
      <alignment horizontal="center" vertical="center"/>
    </xf>
    <xf numFmtId="2" fontId="46" fillId="2" borderId="9" xfId="0" applyNumberFormat="1" applyFont="1" applyFill="1" applyBorder="1" applyAlignment="1">
      <alignment horizontal="center" vertical="center"/>
    </xf>
    <xf numFmtId="0" fontId="46" fillId="2" borderId="11" xfId="0" applyFont="1" applyFill="1" applyBorder="1" applyAlignment="1">
      <alignment horizontal="center" vertical="center"/>
    </xf>
    <xf numFmtId="0" fontId="46" fillId="2" borderId="10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vertical="center"/>
    </xf>
    <xf numFmtId="0" fontId="46" fillId="2" borderId="1" xfId="0" applyFont="1" applyFill="1" applyBorder="1" applyAlignment="1">
      <alignment vertical="center"/>
    </xf>
    <xf numFmtId="0" fontId="46" fillId="2" borderId="4" xfId="0" applyFont="1" applyFill="1" applyBorder="1" applyAlignment="1">
      <alignment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5" fillId="2" borderId="6" xfId="0" applyFont="1" applyFill="1" applyBorder="1" applyAlignment="1">
      <alignment vertical="center"/>
    </xf>
    <xf numFmtId="2" fontId="45" fillId="4" borderId="5" xfId="0" applyNumberFormat="1" applyFont="1" applyFill="1" applyBorder="1" applyAlignment="1">
      <alignment horizontal="center" vertical="center"/>
    </xf>
    <xf numFmtId="164" fontId="46" fillId="2" borderId="0" xfId="0" applyNumberFormat="1" applyFont="1" applyFill="1" applyAlignment="1">
      <alignment horizontal="center" vertical="center"/>
    </xf>
    <xf numFmtId="3" fontId="46" fillId="2" borderId="0" xfId="0" applyNumberFormat="1" applyFont="1" applyFill="1" applyAlignment="1">
      <alignment horizontal="center" vertical="center"/>
    </xf>
    <xf numFmtId="3" fontId="45" fillId="2" borderId="5" xfId="0" applyNumberFormat="1" applyFont="1" applyFill="1" applyBorder="1" applyAlignment="1">
      <alignment horizontal="center" vertical="center"/>
    </xf>
    <xf numFmtId="3" fontId="45" fillId="2" borderId="7" xfId="0" applyNumberFormat="1" applyFont="1" applyFill="1" applyBorder="1" applyAlignment="1">
      <alignment horizontal="center" vertical="center"/>
    </xf>
    <xf numFmtId="2" fontId="45" fillId="2" borderId="6" xfId="0" applyNumberFormat="1" applyFont="1" applyFill="1" applyBorder="1" applyAlignment="1">
      <alignment horizontal="center" vertical="center"/>
    </xf>
    <xf numFmtId="2" fontId="46" fillId="2" borderId="0" xfId="0" applyNumberFormat="1" applyFont="1" applyFill="1" applyAlignment="1">
      <alignment horizontal="center" vertical="center"/>
    </xf>
    <xf numFmtId="3" fontId="46" fillId="2" borderId="7" xfId="0" applyNumberFormat="1" applyFont="1" applyFill="1" applyBorder="1" applyAlignment="1">
      <alignment horizontal="center" vertical="center"/>
    </xf>
    <xf numFmtId="164" fontId="47" fillId="2" borderId="5" xfId="0" applyNumberFormat="1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left" vertical="center"/>
    </xf>
    <xf numFmtId="164" fontId="47" fillId="2" borderId="0" xfId="0" applyNumberFormat="1" applyFont="1" applyFill="1" applyAlignment="1">
      <alignment horizontal="center" vertical="center"/>
    </xf>
    <xf numFmtId="3" fontId="47" fillId="2" borderId="0" xfId="0" applyNumberFormat="1" applyFont="1" applyFill="1" applyAlignment="1">
      <alignment horizontal="center" vertical="center"/>
    </xf>
    <xf numFmtId="3" fontId="47" fillId="2" borderId="5" xfId="0" applyNumberFormat="1" applyFont="1" applyFill="1" applyBorder="1" applyAlignment="1">
      <alignment horizontal="center" vertical="center"/>
    </xf>
    <xf numFmtId="166" fontId="32" fillId="2" borderId="0" xfId="0" applyNumberFormat="1" applyFont="1" applyFill="1" applyAlignment="1">
      <alignment horizontal="center" vertical="center"/>
    </xf>
    <xf numFmtId="3" fontId="32" fillId="4" borderId="7" xfId="0" applyNumberFormat="1" applyFont="1" applyFill="1" applyBorder="1" applyAlignment="1">
      <alignment horizontal="center" vertical="center"/>
    </xf>
    <xf numFmtId="2" fontId="46" fillId="2" borderId="6" xfId="0" applyNumberFormat="1" applyFont="1" applyFill="1" applyBorder="1" applyAlignment="1">
      <alignment horizontal="center" vertical="center"/>
    </xf>
    <xf numFmtId="0" fontId="46" fillId="2" borderId="6" xfId="0" applyFont="1" applyFill="1" applyBorder="1" applyAlignment="1">
      <alignment vertical="center"/>
    </xf>
    <xf numFmtId="2" fontId="48" fillId="2" borderId="5" xfId="0" applyNumberFormat="1" applyFont="1" applyFill="1" applyBorder="1" applyAlignment="1">
      <alignment horizontal="center" vertical="center"/>
    </xf>
    <xf numFmtId="3" fontId="46" fillId="2" borderId="5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Alignment="1">
      <alignment horizontal="center" vertical="center"/>
    </xf>
    <xf numFmtId="2" fontId="48" fillId="2" borderId="1" xfId="0" applyNumberFormat="1" applyFont="1" applyFill="1" applyBorder="1" applyAlignment="1">
      <alignment horizontal="center" vertical="center"/>
    </xf>
    <xf numFmtId="3" fontId="46" fillId="2" borderId="4" xfId="0" applyNumberFormat="1" applyFont="1" applyFill="1" applyBorder="1" applyAlignment="1">
      <alignment horizontal="center" vertical="center"/>
    </xf>
    <xf numFmtId="3" fontId="46" fillId="2" borderId="1" xfId="0" applyNumberFormat="1" applyFont="1" applyFill="1" applyBorder="1" applyAlignment="1">
      <alignment horizontal="center" vertical="center"/>
    </xf>
    <xf numFmtId="166" fontId="46" fillId="2" borderId="4" xfId="0" applyNumberFormat="1" applyFont="1" applyFill="1" applyBorder="1" applyAlignment="1">
      <alignment horizontal="center" vertical="center"/>
    </xf>
    <xf numFmtId="2" fontId="46" fillId="2" borderId="2" xfId="0" applyNumberFormat="1" applyFont="1" applyFill="1" applyBorder="1" applyAlignment="1">
      <alignment horizontal="center" vertical="center"/>
    </xf>
    <xf numFmtId="167" fontId="49" fillId="2" borderId="5" xfId="0" applyNumberFormat="1" applyFont="1" applyFill="1" applyBorder="1" applyAlignment="1">
      <alignment horizontal="center" vertical="center"/>
    </xf>
    <xf numFmtId="164" fontId="49" fillId="2" borderId="6" xfId="0" applyNumberFormat="1" applyFont="1" applyFill="1" applyBorder="1" applyAlignment="1">
      <alignment horizontal="center" vertical="center"/>
    </xf>
    <xf numFmtId="3" fontId="49" fillId="2" borderId="7" xfId="0" applyNumberFormat="1" applyFont="1" applyFill="1" applyBorder="1" applyAlignment="1">
      <alignment horizontal="center" vertical="center"/>
    </xf>
    <xf numFmtId="3" fontId="49" fillId="2" borderId="5" xfId="0" applyNumberFormat="1" applyFont="1" applyFill="1" applyBorder="1" applyAlignment="1">
      <alignment horizontal="center" vertical="center"/>
    </xf>
    <xf numFmtId="166" fontId="49" fillId="2" borderId="6" xfId="0" applyNumberFormat="1" applyFont="1" applyFill="1" applyBorder="1" applyAlignment="1">
      <alignment horizontal="center" vertical="center"/>
    </xf>
    <xf numFmtId="2" fontId="49" fillId="2" borderId="6" xfId="0" applyNumberFormat="1" applyFont="1" applyFill="1" applyBorder="1" applyAlignment="1">
      <alignment horizontal="center" vertical="center"/>
    </xf>
    <xf numFmtId="2" fontId="49" fillId="2" borderId="0" xfId="0" applyNumberFormat="1" applyFont="1" applyFill="1" applyAlignment="1">
      <alignment horizontal="center" vertical="center"/>
    </xf>
    <xf numFmtId="3" fontId="49" fillId="2" borderId="0" xfId="0" applyNumberFormat="1" applyFont="1" applyFill="1" applyAlignment="1">
      <alignment horizontal="center" vertical="center"/>
    </xf>
    <xf numFmtId="0" fontId="49" fillId="2" borderId="12" xfId="0" applyFont="1" applyFill="1" applyBorder="1" applyAlignment="1" applyProtection="1">
      <alignment vertical="center"/>
      <protection locked="0"/>
    </xf>
    <xf numFmtId="0" fontId="49" fillId="2" borderId="13" xfId="0" applyFont="1" applyFill="1" applyBorder="1" applyAlignment="1" applyProtection="1">
      <alignment vertical="center"/>
      <protection locked="0"/>
    </xf>
    <xf numFmtId="2" fontId="48" fillId="2" borderId="13" xfId="0" applyNumberFormat="1" applyFont="1" applyFill="1" applyBorder="1" applyAlignment="1" applyProtection="1">
      <alignment vertical="center"/>
      <protection locked="0"/>
    </xf>
    <xf numFmtId="164" fontId="46" fillId="2" borderId="13" xfId="0" applyNumberFormat="1" applyFont="1" applyFill="1" applyBorder="1" applyAlignment="1" applyProtection="1">
      <alignment vertical="center"/>
      <protection locked="0"/>
    </xf>
    <xf numFmtId="3" fontId="46" fillId="2" borderId="13" xfId="0" applyNumberFormat="1" applyFont="1" applyFill="1" applyBorder="1" applyAlignment="1" applyProtection="1">
      <alignment vertical="center"/>
      <protection locked="0"/>
    </xf>
    <xf numFmtId="0" fontId="50" fillId="2" borderId="13" xfId="0" applyFont="1" applyFill="1" applyBorder="1" applyAlignment="1" applyProtection="1">
      <alignment vertical="center"/>
      <protection locked="0"/>
    </xf>
    <xf numFmtId="0" fontId="46" fillId="2" borderId="13" xfId="0" applyFont="1" applyFill="1" applyBorder="1" applyAlignment="1" applyProtection="1">
      <alignment vertical="center"/>
      <protection locked="0"/>
    </xf>
    <xf numFmtId="0" fontId="46" fillId="2" borderId="14" xfId="0" applyFont="1" applyFill="1" applyBorder="1" applyAlignment="1" applyProtection="1">
      <alignment vertical="center"/>
      <protection locked="0"/>
    </xf>
    <xf numFmtId="0" fontId="45" fillId="2" borderId="6" xfId="0" applyFont="1" applyFill="1" applyBorder="1" applyAlignment="1" applyProtection="1">
      <alignment vertical="center"/>
      <protection locked="0"/>
    </xf>
    <xf numFmtId="0" fontId="45" fillId="2" borderId="0" xfId="0" applyFont="1" applyFill="1" applyAlignment="1" applyProtection="1">
      <alignment vertical="center"/>
      <protection locked="0"/>
    </xf>
    <xf numFmtId="0" fontId="46" fillId="2" borderId="0" xfId="0" applyFont="1" applyFill="1" applyAlignment="1" applyProtection="1">
      <alignment vertical="center"/>
      <protection locked="0"/>
    </xf>
    <xf numFmtId="3" fontId="46" fillId="2" borderId="0" xfId="0" applyNumberFormat="1" applyFont="1" applyFill="1" applyAlignment="1">
      <alignment horizontal="right" vertical="center"/>
    </xf>
    <xf numFmtId="0" fontId="46" fillId="2" borderId="0" xfId="0" applyFont="1" applyFill="1" applyAlignment="1" applyProtection="1">
      <alignment horizontal="left" vertical="center"/>
      <protection locked="0"/>
    </xf>
    <xf numFmtId="0" fontId="46" fillId="2" borderId="7" xfId="0" applyFont="1" applyFill="1" applyBorder="1" applyAlignment="1" applyProtection="1">
      <alignment vertical="center"/>
      <protection locked="0"/>
    </xf>
    <xf numFmtId="169" fontId="46" fillId="2" borderId="0" xfId="0" applyNumberFormat="1" applyFont="1" applyFill="1" applyAlignment="1" applyProtection="1">
      <alignment horizontal="center" vertical="center"/>
      <protection locked="0"/>
    </xf>
    <xf numFmtId="170" fontId="45" fillId="2" borderId="0" xfId="0" applyNumberFormat="1" applyFont="1" applyFill="1" applyAlignment="1" applyProtection="1">
      <alignment vertical="center"/>
      <protection locked="0"/>
    </xf>
    <xf numFmtId="3" fontId="46" fillId="2" borderId="0" xfId="0" applyNumberFormat="1" applyFont="1" applyFill="1" applyAlignment="1">
      <alignment vertical="center"/>
    </xf>
    <xf numFmtId="174" fontId="46" fillId="2" borderId="0" xfId="0" applyNumberFormat="1" applyFont="1" applyFill="1" applyAlignment="1" applyProtection="1">
      <alignment horizontal="center" vertical="center"/>
      <protection locked="0"/>
    </xf>
    <xf numFmtId="0" fontId="49" fillId="2" borderId="9" xfId="0" applyFont="1" applyFill="1" applyBorder="1" applyAlignment="1" applyProtection="1">
      <alignment vertical="center"/>
      <protection locked="0"/>
    </xf>
    <xf numFmtId="0" fontId="49" fillId="2" borderId="11" xfId="0" applyFont="1" applyFill="1" applyBorder="1" applyAlignment="1" applyProtection="1">
      <alignment vertical="center"/>
      <protection locked="0"/>
    </xf>
    <xf numFmtId="0" fontId="51" fillId="2" borderId="11" xfId="0" applyFont="1" applyFill="1" applyBorder="1" applyAlignment="1" applyProtection="1">
      <alignment vertical="center"/>
      <protection locked="0"/>
    </xf>
    <xf numFmtId="167" fontId="49" fillId="2" borderId="11" xfId="0" applyNumberFormat="1" applyFont="1" applyFill="1" applyBorder="1" applyAlignment="1" applyProtection="1">
      <alignment vertical="center"/>
      <protection locked="0"/>
    </xf>
    <xf numFmtId="0" fontId="46" fillId="2" borderId="11" xfId="0" applyFont="1" applyFill="1" applyBorder="1" applyAlignment="1" applyProtection="1">
      <alignment horizontal="left" vertical="center"/>
      <protection locked="0"/>
    </xf>
    <xf numFmtId="0" fontId="46" fillId="2" borderId="10" xfId="0" applyFont="1" applyFill="1" applyBorder="1" applyAlignment="1" applyProtection="1">
      <alignment vertical="center"/>
      <protection locked="0"/>
    </xf>
    <xf numFmtId="0" fontId="46" fillId="2" borderId="13" xfId="0" applyFont="1" applyFill="1" applyBorder="1" applyAlignment="1" applyProtection="1">
      <alignment horizontal="left" vertical="center"/>
      <protection locked="0"/>
    </xf>
    <xf numFmtId="168" fontId="45" fillId="2" borderId="0" xfId="0" applyNumberFormat="1" applyFont="1" applyFill="1" applyAlignment="1" applyProtection="1">
      <alignment horizontal="center" vertical="center"/>
      <protection locked="0"/>
    </xf>
    <xf numFmtId="0" fontId="46" fillId="2" borderId="6" xfId="0" applyFont="1" applyFill="1" applyBorder="1" applyAlignment="1" applyProtection="1">
      <alignment vertical="center"/>
      <protection locked="0"/>
    </xf>
    <xf numFmtId="170" fontId="46" fillId="2" borderId="0" xfId="0" applyNumberFormat="1" applyFont="1" applyFill="1" applyAlignment="1" applyProtection="1">
      <alignment vertical="center"/>
      <protection locked="0"/>
    </xf>
    <xf numFmtId="2" fontId="45" fillId="3" borderId="5" xfId="0" applyNumberFormat="1" applyFont="1" applyFill="1" applyBorder="1" applyAlignment="1" applyProtection="1">
      <alignment horizontal="center" vertical="center"/>
      <protection locked="0"/>
    </xf>
    <xf numFmtId="165" fontId="46" fillId="2" borderId="0" xfId="0" applyNumberFormat="1" applyFont="1" applyFill="1" applyAlignment="1">
      <alignment horizontal="center" vertical="center"/>
    </xf>
    <xf numFmtId="3" fontId="45" fillId="4" borderId="5" xfId="0" applyNumberFormat="1" applyFont="1" applyFill="1" applyBorder="1" applyAlignment="1" applyProtection="1">
      <alignment horizontal="center" vertical="center"/>
      <protection locked="0"/>
    </xf>
    <xf numFmtId="166" fontId="45" fillId="3" borderId="0" xfId="0" applyNumberFormat="1" applyFont="1" applyFill="1" applyAlignment="1" applyProtection="1">
      <alignment horizontal="center" vertical="center"/>
      <protection locked="0"/>
    </xf>
    <xf numFmtId="1" fontId="45" fillId="2" borderId="7" xfId="0" applyNumberFormat="1" applyFont="1" applyFill="1" applyBorder="1" applyAlignment="1">
      <alignment horizontal="center" vertical="center"/>
    </xf>
    <xf numFmtId="3" fontId="46" fillId="2" borderId="0" xfId="0" applyNumberFormat="1" applyFont="1" applyFill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46" fillId="2" borderId="1" xfId="0" applyFont="1" applyFill="1" applyBorder="1" applyProtection="1">
      <protection locked="0"/>
    </xf>
    <xf numFmtId="0" fontId="46" fillId="2" borderId="2" xfId="0" applyFont="1" applyFill="1" applyBorder="1" applyProtection="1">
      <protection locked="0"/>
    </xf>
    <xf numFmtId="0" fontId="46" fillId="2" borderId="3" xfId="0" applyFont="1" applyFill="1" applyBorder="1" applyProtection="1">
      <protection locked="0"/>
    </xf>
    <xf numFmtId="0" fontId="46" fillId="2" borderId="4" xfId="0" applyFont="1" applyFill="1" applyBorder="1" applyProtection="1">
      <protection locked="0"/>
    </xf>
    <xf numFmtId="0" fontId="49" fillId="2" borderId="5" xfId="0" applyFont="1" applyFill="1" applyBorder="1" applyProtection="1">
      <protection locked="0"/>
    </xf>
    <xf numFmtId="0" fontId="45" fillId="2" borderId="5" xfId="0" applyFont="1" applyFill="1" applyBorder="1" applyAlignment="1" applyProtection="1">
      <alignment horizontal="center"/>
      <protection locked="0"/>
    </xf>
    <xf numFmtId="0" fontId="45" fillId="2" borderId="6" xfId="0" applyFont="1" applyFill="1" applyBorder="1" applyAlignment="1" applyProtection="1">
      <alignment horizontal="center"/>
      <protection locked="0"/>
    </xf>
    <xf numFmtId="0" fontId="45" fillId="2" borderId="7" xfId="0" applyFont="1" applyFill="1" applyBorder="1" applyAlignment="1" applyProtection="1">
      <alignment horizontal="center"/>
      <protection locked="0"/>
    </xf>
    <xf numFmtId="0" fontId="45" fillId="2" borderId="6" xfId="0" applyFont="1" applyFill="1" applyBorder="1" applyAlignment="1" applyProtection="1">
      <alignment horizontal="centerContinuous"/>
      <protection locked="0"/>
    </xf>
    <xf numFmtId="0" fontId="45" fillId="2" borderId="7" xfId="0" applyFont="1" applyFill="1" applyBorder="1" applyAlignment="1" applyProtection="1">
      <alignment horizontal="centerContinuous"/>
      <protection locked="0"/>
    </xf>
    <xf numFmtId="0" fontId="45" fillId="2" borderId="0" xfId="0" applyFont="1" applyFill="1" applyAlignment="1" applyProtection="1">
      <alignment horizontal="centerContinuous"/>
      <protection locked="0"/>
    </xf>
    <xf numFmtId="0" fontId="45" fillId="2" borderId="5" xfId="0" applyFont="1" applyFill="1" applyBorder="1" applyProtection="1">
      <protection locked="0"/>
    </xf>
    <xf numFmtId="0" fontId="46" fillId="2" borderId="6" xfId="0" applyFont="1" applyFill="1" applyBorder="1" applyAlignment="1" applyProtection="1">
      <alignment horizontal="center"/>
      <protection locked="0"/>
    </xf>
    <xf numFmtId="0" fontId="45" fillId="2" borderId="0" xfId="0" applyFont="1" applyFill="1" applyAlignment="1" applyProtection="1">
      <alignment horizontal="center"/>
      <protection locked="0"/>
    </xf>
    <xf numFmtId="0" fontId="49" fillId="2" borderId="5" xfId="0" applyFont="1" applyFill="1" applyBorder="1" applyAlignment="1" applyProtection="1">
      <alignment horizontal="center"/>
      <protection locked="0"/>
    </xf>
    <xf numFmtId="0" fontId="46" fillId="2" borderId="5" xfId="0" applyFont="1" applyFill="1" applyBorder="1" applyAlignment="1" applyProtection="1">
      <alignment horizontal="center"/>
      <protection locked="0"/>
    </xf>
    <xf numFmtId="0" fontId="46" fillId="2" borderId="5" xfId="0" applyFont="1" applyFill="1" applyBorder="1" applyProtection="1">
      <protection locked="0"/>
    </xf>
    <xf numFmtId="0" fontId="46" fillId="2" borderId="6" xfId="0" applyFont="1" applyFill="1" applyBorder="1" applyProtection="1">
      <protection locked="0"/>
    </xf>
    <xf numFmtId="0" fontId="46" fillId="2" borderId="7" xfId="0" applyFont="1" applyFill="1" applyBorder="1" applyAlignment="1" applyProtection="1">
      <alignment horizontal="center"/>
      <protection locked="0"/>
    </xf>
    <xf numFmtId="0" fontId="46" fillId="2" borderId="0" xfId="0" applyFont="1" applyFill="1" applyProtection="1">
      <protection locked="0"/>
    </xf>
    <xf numFmtId="0" fontId="46" fillId="2" borderId="7" xfId="0" applyFont="1" applyFill="1" applyBorder="1" applyProtection="1">
      <protection locked="0"/>
    </xf>
    <xf numFmtId="0" fontId="49" fillId="2" borderId="2" xfId="0" applyFont="1" applyFill="1" applyBorder="1" applyAlignment="1" applyProtection="1">
      <alignment horizontal="center"/>
      <protection locked="0"/>
    </xf>
    <xf numFmtId="0" fontId="46" fillId="2" borderId="4" xfId="0" applyFont="1" applyFill="1" applyBorder="1" applyAlignment="1" applyProtection="1">
      <alignment horizontal="center"/>
      <protection locked="0"/>
    </xf>
    <xf numFmtId="0" fontId="46" fillId="2" borderId="3" xfId="0" applyFont="1" applyFill="1" applyBorder="1" applyAlignment="1" applyProtection="1">
      <alignment horizontal="center"/>
      <protection locked="0"/>
    </xf>
    <xf numFmtId="2" fontId="48" fillId="3" borderId="5" xfId="0" applyNumberFormat="1" applyFont="1" applyFill="1" applyBorder="1" applyAlignment="1" applyProtection="1">
      <alignment horizontal="center" vertical="center"/>
      <protection locked="0"/>
    </xf>
    <xf numFmtId="3" fontId="32" fillId="4" borderId="5" xfId="0" applyNumberFormat="1" applyFont="1" applyFill="1" applyBorder="1" applyAlignment="1" applyProtection="1">
      <alignment horizontal="center" vertical="center"/>
      <protection locked="0"/>
    </xf>
    <xf numFmtId="166" fontId="48" fillId="3" borderId="0" xfId="0" applyNumberFormat="1" applyFont="1" applyFill="1" applyAlignment="1" applyProtection="1">
      <alignment horizontal="center" vertical="center"/>
      <protection locked="0"/>
    </xf>
    <xf numFmtId="1" fontId="46" fillId="2" borderId="7" xfId="0" applyNumberFormat="1" applyFont="1" applyFill="1" applyBorder="1" applyAlignment="1">
      <alignment horizontal="center" vertical="center"/>
    </xf>
    <xf numFmtId="2" fontId="32" fillId="4" borderId="5" xfId="0" applyNumberFormat="1" applyFont="1" applyFill="1" applyBorder="1" applyAlignment="1">
      <alignment horizontal="center" vertical="center"/>
    </xf>
    <xf numFmtId="3" fontId="32" fillId="4" borderId="5" xfId="0" applyNumberFormat="1" applyFont="1" applyFill="1" applyBorder="1" applyAlignment="1">
      <alignment horizontal="center" vertical="center"/>
    </xf>
    <xf numFmtId="2" fontId="48" fillId="3" borderId="5" xfId="0" applyNumberFormat="1" applyFont="1" applyFill="1" applyBorder="1" applyAlignment="1">
      <alignment horizontal="center" vertical="center"/>
    </xf>
    <xf numFmtId="166" fontId="32" fillId="4" borderId="0" xfId="0" applyNumberFormat="1" applyFont="1" applyFill="1" applyAlignment="1">
      <alignment horizontal="center" vertical="center"/>
    </xf>
    <xf numFmtId="0" fontId="46" fillId="2" borderId="9" xfId="0" applyFont="1" applyFill="1" applyBorder="1"/>
    <xf numFmtId="2" fontId="48" fillId="2" borderId="8" xfId="0" applyNumberFormat="1" applyFont="1" applyFill="1" applyBorder="1" applyAlignment="1">
      <alignment horizontal="center"/>
    </xf>
    <xf numFmtId="164" fontId="46" fillId="2" borderId="11" xfId="0" applyNumberFormat="1" applyFont="1" applyFill="1" applyBorder="1" applyAlignment="1">
      <alignment horizontal="center"/>
    </xf>
    <xf numFmtId="3" fontId="46" fillId="2" borderId="11" xfId="0" applyNumberFormat="1" applyFont="1" applyFill="1" applyBorder="1" applyAlignment="1">
      <alignment horizontal="center"/>
    </xf>
    <xf numFmtId="3" fontId="46" fillId="2" borderId="8" xfId="0" applyNumberFormat="1" applyFont="1" applyFill="1" applyBorder="1" applyAlignment="1">
      <alignment horizontal="center"/>
    </xf>
    <xf numFmtId="166" fontId="46" fillId="2" borderId="11" xfId="0" applyNumberFormat="1" applyFont="1" applyFill="1" applyBorder="1" applyAlignment="1">
      <alignment horizontal="center"/>
    </xf>
    <xf numFmtId="3" fontId="46" fillId="2" borderId="10" xfId="0" applyNumberFormat="1" applyFont="1" applyFill="1" applyBorder="1" applyAlignment="1">
      <alignment horizontal="center"/>
    </xf>
    <xf numFmtId="2" fontId="46" fillId="2" borderId="9" xfId="0" applyNumberFormat="1" applyFont="1" applyFill="1" applyBorder="1"/>
    <xf numFmtId="2" fontId="46" fillId="2" borderId="11" xfId="0" applyNumberFormat="1" applyFont="1" applyFill="1" applyBorder="1"/>
    <xf numFmtId="3" fontId="46" fillId="2" borderId="11" xfId="0" applyNumberFormat="1" applyFont="1" applyFill="1" applyBorder="1"/>
    <xf numFmtId="3" fontId="46" fillId="2" borderId="10" xfId="0" applyNumberFormat="1" applyFont="1" applyFill="1" applyBorder="1"/>
    <xf numFmtId="168" fontId="3" fillId="2" borderId="0" xfId="0" applyNumberFormat="1" applyFont="1" applyFill="1" applyAlignment="1" applyProtection="1">
      <alignment horizontal="center" vertical="center"/>
      <protection locked="0"/>
    </xf>
    <xf numFmtId="0" fontId="18" fillId="0" borderId="0" xfId="0" applyFont="1" applyAlignment="1">
      <alignment horizontal="right"/>
    </xf>
    <xf numFmtId="181" fontId="46" fillId="2" borderId="0" xfId="0" applyNumberFormat="1" applyFont="1" applyFill="1" applyAlignment="1">
      <alignment horizontal="center" vertical="center"/>
    </xf>
    <xf numFmtId="181" fontId="46" fillId="2" borderId="9" xfId="0" applyNumberFormat="1" applyFont="1" applyFill="1" applyBorder="1" applyAlignment="1">
      <alignment horizontal="center" vertic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9" fontId="14" fillId="0" borderId="0" xfId="0" applyNumberFormat="1" applyFont="1"/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166" fontId="45" fillId="2" borderId="6" xfId="0" applyNumberFormat="1" applyFont="1" applyFill="1" applyBorder="1" applyAlignment="1">
      <alignment horizontal="center" vertical="center"/>
    </xf>
    <xf numFmtId="167" fontId="5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3" fontId="3" fillId="2" borderId="0" xfId="0" applyNumberFormat="1" applyFont="1" applyFill="1" applyAlignment="1">
      <alignment vertical="center"/>
    </xf>
    <xf numFmtId="3" fontId="3" fillId="2" borderId="0" xfId="0" applyNumberFormat="1" applyFont="1" applyFill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18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centerContinuous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52" fillId="2" borderId="11" xfId="0" applyFont="1" applyFill="1" applyBorder="1" applyAlignment="1" applyProtection="1">
      <alignment horizontal="right" vertical="center"/>
      <protection locked="0"/>
    </xf>
    <xf numFmtId="2" fontId="49" fillId="2" borderId="11" xfId="0" applyNumberFormat="1" applyFont="1" applyFill="1" applyBorder="1" applyAlignment="1" applyProtection="1">
      <alignment vertical="center"/>
      <protection locked="0"/>
    </xf>
    <xf numFmtId="167" fontId="45" fillId="2" borderId="6" xfId="0" applyNumberFormat="1" applyFont="1" applyFill="1" applyBorder="1" applyAlignment="1">
      <alignment horizontal="center" vertical="center"/>
    </xf>
    <xf numFmtId="167" fontId="46" fillId="2" borderId="9" xfId="0" applyNumberFormat="1" applyFont="1" applyFill="1" applyBorder="1" applyAlignment="1">
      <alignment horizontal="center" vertical="center"/>
    </xf>
    <xf numFmtId="167" fontId="46" fillId="2" borderId="2" xfId="0" applyNumberFormat="1" applyFont="1" applyFill="1" applyBorder="1" applyAlignment="1">
      <alignment horizontal="center" vertical="center"/>
    </xf>
    <xf numFmtId="167" fontId="46" fillId="2" borderId="6" xfId="0" applyNumberFormat="1" applyFont="1" applyFill="1" applyBorder="1" applyAlignment="1">
      <alignment horizontal="center" vertical="center"/>
    </xf>
    <xf numFmtId="167" fontId="49" fillId="2" borderId="6" xfId="0" applyNumberFormat="1" applyFont="1" applyFill="1" applyBorder="1" applyAlignment="1">
      <alignment horizontal="center" vertical="center"/>
    </xf>
    <xf numFmtId="167" fontId="46" fillId="2" borderId="0" xfId="0" applyNumberFormat="1" applyFont="1" applyFill="1" applyAlignment="1">
      <alignment horizontal="center" vertical="center"/>
    </xf>
    <xf numFmtId="167" fontId="46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center" vertical="center"/>
    </xf>
    <xf numFmtId="167" fontId="49" fillId="2" borderId="0" xfId="0" applyNumberFormat="1" applyFont="1" applyFill="1" applyAlignment="1">
      <alignment horizontal="center" vertical="center"/>
    </xf>
    <xf numFmtId="169" fontId="3" fillId="2" borderId="3" xfId="0" applyNumberFormat="1" applyFont="1" applyFill="1" applyBorder="1" applyAlignment="1" applyProtection="1">
      <alignment horizontal="center" vertical="center"/>
      <protection locked="0"/>
    </xf>
    <xf numFmtId="167" fontId="45" fillId="2" borderId="5" xfId="0" applyNumberFormat="1" applyFont="1" applyFill="1" applyBorder="1" applyAlignment="1">
      <alignment horizontal="center" vertical="center"/>
    </xf>
    <xf numFmtId="167" fontId="45" fillId="4" borderId="5" xfId="0" applyNumberFormat="1" applyFont="1" applyFill="1" applyBorder="1" applyAlignment="1">
      <alignment horizontal="center" vertical="center"/>
    </xf>
    <xf numFmtId="167" fontId="45" fillId="3" borderId="5" xfId="0" applyNumberFormat="1" applyFont="1" applyFill="1" applyBorder="1" applyAlignment="1" applyProtection="1">
      <alignment horizontal="center" vertical="center"/>
      <protection locked="0"/>
    </xf>
    <xf numFmtId="182" fontId="5" fillId="3" borderId="0" xfId="0" applyNumberFormat="1" applyFont="1" applyFill="1" applyAlignment="1" applyProtection="1">
      <alignment horizontal="center" vertical="center"/>
      <protection locked="0"/>
    </xf>
    <xf numFmtId="182" fontId="3" fillId="2" borderId="0" xfId="0" applyNumberFormat="1" applyFont="1" applyFill="1" applyAlignment="1" applyProtection="1">
      <alignment horizontal="center" vertical="center"/>
      <protection locked="0"/>
    </xf>
    <xf numFmtId="0" fontId="53" fillId="0" borderId="0" xfId="0" applyFont="1"/>
    <xf numFmtId="0" fontId="46" fillId="0" borderId="0" xfId="0" applyFont="1" applyAlignment="1">
      <alignment horizontal="left"/>
    </xf>
    <xf numFmtId="0" fontId="46" fillId="0" borderId="0" xfId="0" applyFont="1"/>
    <xf numFmtId="0" fontId="46" fillId="0" borderId="0" xfId="0" applyFont="1" applyAlignment="1">
      <alignment horizontal="left" indent="1"/>
    </xf>
    <xf numFmtId="0" fontId="45" fillId="0" borderId="0" xfId="0" applyFont="1" applyAlignment="1">
      <alignment horizontal="left" indent="1"/>
    </xf>
    <xf numFmtId="0" fontId="45" fillId="0" borderId="0" xfId="0" applyFont="1"/>
    <xf numFmtId="0" fontId="45" fillId="0" borderId="0" xfId="0" applyFont="1" applyAlignment="1">
      <alignment horizontal="left"/>
    </xf>
    <xf numFmtId="2" fontId="1" fillId="2" borderId="9" xfId="0" applyNumberFormat="1" applyFont="1" applyFill="1" applyBorder="1" applyAlignment="1">
      <alignment horizontal="center"/>
    </xf>
    <xf numFmtId="3" fontId="46" fillId="4" borderId="0" xfId="0" applyNumberFormat="1" applyFont="1" applyFill="1" applyAlignment="1" applyProtection="1">
      <alignment vertical="center"/>
      <protection locked="0"/>
    </xf>
    <xf numFmtId="0" fontId="50" fillId="4" borderId="4" xfId="0" applyFont="1" applyFill="1" applyBorder="1" applyAlignment="1" applyProtection="1">
      <alignment vertical="center"/>
      <protection locked="0"/>
    </xf>
    <xf numFmtId="1" fontId="46" fillId="4" borderId="0" xfId="0" applyNumberFormat="1" applyFont="1" applyFill="1" applyAlignment="1" applyProtection="1">
      <alignment vertical="center"/>
      <protection locked="0"/>
    </xf>
    <xf numFmtId="3" fontId="51" fillId="7" borderId="0" xfId="0" applyNumberFormat="1" applyFont="1" applyFill="1" applyAlignment="1" applyProtection="1">
      <alignment vertical="center"/>
      <protection locked="0"/>
    </xf>
    <xf numFmtId="0" fontId="45" fillId="7" borderId="4" xfId="0" applyFont="1" applyFill="1" applyBorder="1" applyAlignment="1" applyProtection="1">
      <alignment vertical="center"/>
      <protection locked="0"/>
    </xf>
    <xf numFmtId="0" fontId="45" fillId="7" borderId="0" xfId="0" applyFont="1" applyFill="1" applyAlignment="1" applyProtection="1">
      <alignment vertical="center"/>
      <protection locked="0"/>
    </xf>
    <xf numFmtId="0" fontId="49" fillId="7" borderId="0" xfId="0" applyFont="1" applyFill="1" applyAlignment="1" applyProtection="1">
      <alignment vertical="center"/>
      <protection locked="0"/>
    </xf>
    <xf numFmtId="0" fontId="14" fillId="7" borderId="7" xfId="0" applyFont="1" applyFill="1" applyBorder="1" applyAlignment="1" applyProtection="1">
      <alignment vertical="center"/>
      <protection locked="0"/>
    </xf>
    <xf numFmtId="0" fontId="14" fillId="7" borderId="6" xfId="0" applyFont="1" applyFill="1" applyBorder="1" applyAlignment="1" applyProtection="1">
      <alignment vertical="center"/>
      <protection locked="0"/>
    </xf>
    <xf numFmtId="0" fontId="14" fillId="7" borderId="0" xfId="0" applyFont="1" applyFill="1" applyAlignment="1" applyProtection="1">
      <alignment vertical="center"/>
      <protection locked="0"/>
    </xf>
    <xf numFmtId="3" fontId="14" fillId="7" borderId="0" xfId="0" applyNumberFormat="1" applyFont="1" applyFill="1" applyAlignment="1" applyProtection="1">
      <alignment vertical="center"/>
      <protection locked="0"/>
    </xf>
    <xf numFmtId="3" fontId="14" fillId="4" borderId="0" xfId="0" applyNumberFormat="1" applyFont="1" applyFill="1" applyAlignment="1" applyProtection="1">
      <alignment vertical="center"/>
      <protection locked="0"/>
    </xf>
    <xf numFmtId="1" fontId="14" fillId="7" borderId="0" xfId="0" applyNumberFormat="1" applyFont="1" applyFill="1" applyAlignment="1" applyProtection="1">
      <alignment vertical="center"/>
      <protection locked="0"/>
    </xf>
    <xf numFmtId="0" fontId="31" fillId="7" borderId="6" xfId="0" applyFont="1" applyFill="1" applyBorder="1" applyAlignment="1" applyProtection="1">
      <alignment vertical="center"/>
      <protection locked="0"/>
    </xf>
    <xf numFmtId="0" fontId="14" fillId="4" borderId="0" xfId="0" applyFont="1" applyFill="1" applyAlignment="1" applyProtection="1">
      <alignment vertical="center"/>
      <protection locked="0"/>
    </xf>
    <xf numFmtId="0" fontId="31" fillId="0" borderId="9" xfId="0" applyFont="1" applyBorder="1"/>
    <xf numFmtId="0" fontId="56" fillId="0" borderId="0" xfId="0" applyFont="1"/>
    <xf numFmtId="0" fontId="31" fillId="0" borderId="2" xfId="0" applyFont="1" applyBorder="1"/>
    <xf numFmtId="3" fontId="14" fillId="0" borderId="6" xfId="0" applyNumberFormat="1" applyFont="1" applyBorder="1"/>
    <xf numFmtId="3" fontId="14" fillId="0" borderId="0" xfId="0" applyNumberFormat="1" applyFont="1"/>
    <xf numFmtId="3" fontId="14" fillId="0" borderId="9" xfId="0" applyNumberFormat="1" applyFont="1" applyBorder="1"/>
    <xf numFmtId="0" fontId="45" fillId="7" borderId="3" xfId="0" applyFont="1" applyFill="1" applyBorder="1" applyAlignment="1" applyProtection="1">
      <alignment vertical="center"/>
      <protection locked="0"/>
    </xf>
    <xf numFmtId="0" fontId="46" fillId="7" borderId="7" xfId="0" applyFont="1" applyFill="1" applyBorder="1" applyAlignment="1" applyProtection="1">
      <alignment vertical="center"/>
      <protection locked="0"/>
    </xf>
    <xf numFmtId="0" fontId="45" fillId="7" borderId="7" xfId="0" applyFont="1" applyFill="1" applyBorder="1" applyAlignment="1" applyProtection="1">
      <alignment vertical="center"/>
      <protection locked="0"/>
    </xf>
    <xf numFmtId="0" fontId="46" fillId="7" borderId="2" xfId="0" applyFont="1" applyFill="1" applyBorder="1" applyAlignment="1" applyProtection="1">
      <alignment vertical="center"/>
      <protection locked="0"/>
    </xf>
    <xf numFmtId="0" fontId="46" fillId="7" borderId="6" xfId="0" applyFont="1" applyFill="1" applyBorder="1" applyAlignment="1" applyProtection="1">
      <alignment vertical="center"/>
      <protection locked="0"/>
    </xf>
    <xf numFmtId="0" fontId="51" fillId="7" borderId="6" xfId="0" applyFont="1" applyFill="1" applyBorder="1" applyAlignment="1" applyProtection="1">
      <alignment vertical="center"/>
      <protection locked="0"/>
    </xf>
    <xf numFmtId="3" fontId="0" fillId="0" borderId="0" xfId="0" applyNumberFormat="1"/>
    <xf numFmtId="0" fontId="59" fillId="0" borderId="0" xfId="0" applyFont="1"/>
    <xf numFmtId="0" fontId="60" fillId="0" borderId="0" xfId="0" applyFont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6" xfId="0" applyBorder="1"/>
    <xf numFmtId="3" fontId="0" fillId="4" borderId="0" xfId="0" applyNumberFormat="1" applyFill="1"/>
    <xf numFmtId="0" fontId="0" fillId="0" borderId="7" xfId="0" applyBorder="1"/>
    <xf numFmtId="0" fontId="0" fillId="4" borderId="0" xfId="0" applyFill="1"/>
    <xf numFmtId="1" fontId="0" fillId="0" borderId="0" xfId="0" applyNumberFormat="1"/>
    <xf numFmtId="2" fontId="0" fillId="0" borderId="0" xfId="0" applyNumberFormat="1"/>
    <xf numFmtId="0" fontId="0" fillId="0" borderId="9" xfId="0" applyBorder="1"/>
    <xf numFmtId="0" fontId="0" fillId="0" borderId="11" xfId="0" applyBorder="1"/>
    <xf numFmtId="0" fontId="0" fillId="0" borderId="10" xfId="0" applyBorder="1"/>
    <xf numFmtId="0" fontId="59" fillId="0" borderId="6" xfId="0" applyFont="1" applyBorder="1"/>
    <xf numFmtId="1" fontId="59" fillId="0" borderId="0" xfId="0" applyNumberFormat="1" applyFont="1"/>
    <xf numFmtId="0" fontId="59" fillId="0" borderId="7" xfId="0" applyFont="1" applyBorder="1"/>
    <xf numFmtId="2" fontId="0" fillId="4" borderId="0" xfId="0" applyNumberFormat="1" applyFill="1"/>
    <xf numFmtId="2" fontId="59" fillId="0" borderId="0" xfId="0" applyNumberFormat="1" applyFont="1"/>
    <xf numFmtId="0" fontId="58" fillId="0" borderId="0" xfId="0" applyFont="1"/>
    <xf numFmtId="0" fontId="58" fillId="0" borderId="6" xfId="0" applyFont="1" applyBorder="1"/>
    <xf numFmtId="0" fontId="57" fillId="8" borderId="0" xfId="0" applyFont="1" applyFill="1"/>
    <xf numFmtId="2" fontId="58" fillId="0" borderId="0" xfId="0" applyNumberFormat="1" applyFont="1"/>
    <xf numFmtId="0" fontId="58" fillId="0" borderId="7" xfId="0" applyFont="1" applyBorder="1"/>
    <xf numFmtId="3" fontId="52" fillId="2" borderId="10" xfId="0" applyNumberFormat="1" applyFont="1" applyFill="1" applyBorder="1" applyAlignment="1" applyProtection="1">
      <alignment horizontal="left" vertical="center"/>
      <protection locked="0"/>
    </xf>
    <xf numFmtId="164" fontId="14" fillId="4" borderId="0" xfId="0" applyNumberFormat="1" applyFont="1" applyFill="1" applyAlignment="1" applyProtection="1">
      <alignment vertical="center"/>
      <protection locked="0"/>
    </xf>
    <xf numFmtId="0" fontId="47" fillId="7" borderId="6" xfId="0" applyFont="1" applyFill="1" applyBorder="1" applyAlignment="1" applyProtection="1">
      <alignment vertical="center"/>
      <protection locked="0"/>
    </xf>
    <xf numFmtId="0" fontId="47" fillId="4" borderId="0" xfId="0" applyFont="1" applyFill="1" applyAlignment="1" applyProtection="1">
      <alignment vertical="center"/>
      <protection locked="0"/>
    </xf>
    <xf numFmtId="1" fontId="0" fillId="4" borderId="0" xfId="0" applyNumberFormat="1" applyFill="1"/>
    <xf numFmtId="0" fontId="61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8000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fr-FR" sz="1600"/>
              <a:t>Diagramme psychrométrique de l'air humide (pression atmosphérique 101325 Pa)</a:t>
            </a:r>
          </a:p>
        </c:rich>
      </c:tx>
      <c:layout>
        <c:manualLayout>
          <c:xMode val="edge"/>
          <c:yMode val="edge"/>
          <c:x val="8.8463407621750478E-2"/>
          <c:y val="2.9585869634800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198618776100112E-2"/>
          <c:y val="0.13313619084009781"/>
          <c:w val="0.85278772848449191"/>
          <c:h val="0.7366869226485411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'Diagramme psychro -10 à +40°C'!$V$73</c:f>
              <c:strCache>
                <c:ptCount val="1"/>
                <c:pt idx="0">
                  <c:v>10 % HR</c:v>
                </c:pt>
              </c:strCache>
            </c:strRef>
          </c:tx>
          <c:spPr>
            <a:ln w="3175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078-4F9D-8E12-A7749FC4F1B8}"/>
                </c:ext>
              </c:extLst>
            </c:dLbl>
            <c:dLbl>
              <c:idx val="24"/>
              <c:layout>
                <c:manualLayout>
                  <c:x val="-5.0528446687585667E-2"/>
                  <c:y val="-1.6326974480590881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+40°C'!$V$74:$V$99</c:f>
              <c:numCache>
                <c:formatCode>#\ ##0.00\ "gr/kg";\-#\ ##0.00\ "gr/kg"</c:formatCode>
                <c:ptCount val="26"/>
                <c:pt idx="0">
                  <c:v>0.17630134102554579</c:v>
                </c:pt>
                <c:pt idx="1">
                  <c:v>0.20658580128762366</c:v>
                </c:pt>
                <c:pt idx="2">
                  <c:v>0.24139516271213302</c:v>
                </c:pt>
                <c:pt idx="3">
                  <c:v>0.28130175837865662</c:v>
                </c:pt>
                <c:pt idx="4">
                  <c:v>0.3269366364648007</c:v>
                </c:pt>
                <c:pt idx="5">
                  <c:v>0.3789940880343049</c:v>
                </c:pt>
                <c:pt idx="6">
                  <c:v>0.4382363986573522</c:v>
                </c:pt>
                <c:pt idx="7">
                  <c:v>0.50549882912629962</c:v>
                </c:pt>
                <c:pt idx="8">
                  <c:v>0.58169483113751219</c:v>
                </c:pt>
                <c:pt idx="9">
                  <c:v>0.66782150460519896</c:v>
                </c:pt>
                <c:pt idx="10">
                  <c:v>0.76496530428048137</c:v>
                </c:pt>
                <c:pt idx="11">
                  <c:v>0.8743080045948608</c:v>
                </c:pt>
                <c:pt idx="12">
                  <c:v>0.99713293315988538</c:v>
                </c:pt>
                <c:pt idx="13">
                  <c:v>1.1348314851647046</c:v>
                </c:pt>
                <c:pt idx="14">
                  <c:v>1.2889099330534308</c:v>
                </c:pt>
                <c:pt idx="15">
                  <c:v>1.4609965483706904</c:v>
                </c:pt>
                <c:pt idx="16">
                  <c:v>1.6528490555757087</c:v>
                </c:pt>
                <c:pt idx="17">
                  <c:v>1.8663624409859305</c:v>
                </c:pt>
                <c:pt idx="18">
                  <c:v>2.103577143868165</c:v>
                </c:pt>
                <c:pt idx="19">
                  <c:v>2.3666876611018148</c:v>
                </c:pt>
                <c:pt idx="20">
                  <c:v>2.6580516018540115</c:v>
                </c:pt>
                <c:pt idx="21">
                  <c:v>2.9801992343977224</c:v>
                </c:pt>
                <c:pt idx="22">
                  <c:v>3.3358435736465313</c:v>
                </c:pt>
                <c:pt idx="23">
                  <c:v>3.7278910652608763</c:v>
                </c:pt>
                <c:pt idx="24">
                  <c:v>4.1594529303984178</c:v>
                </c:pt>
                <c:pt idx="25">
                  <c:v>4.6338572444507733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F078-4F9D-8E12-A7749FC4F1B8}"/>
            </c:ext>
          </c:extLst>
        </c:ser>
        <c:ser>
          <c:idx val="1"/>
          <c:order val="1"/>
          <c:tx>
            <c:strRef>
              <c:f>'Diagramme psychro -10 à +40°C'!$W$73</c:f>
              <c:strCache>
                <c:ptCount val="1"/>
                <c:pt idx="0">
                  <c:v>20 % HR</c:v>
                </c:pt>
              </c:strCache>
            </c:strRef>
          </c:tx>
          <c:spPr>
            <a:ln w="3175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F078-4F9D-8E12-A7749FC4F1B8}"/>
                </c:ext>
              </c:extLst>
            </c:dLbl>
            <c:dLbl>
              <c:idx val="24"/>
              <c:layout>
                <c:manualLayout>
                  <c:x val="-6.0110331277298923E-2"/>
                  <c:y val="4.2012987934987034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12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+40°C'!$W$74:$W$99</c:f>
              <c:numCache>
                <c:formatCode>#\ ##0.00\ "gr/kg";\-#\ ##0.00\ "gr/kg"</c:formatCode>
                <c:ptCount val="26"/>
                <c:pt idx="0">
                  <c:v>0.35270265303294518</c:v>
                </c:pt>
                <c:pt idx="1">
                  <c:v>0.41330887547752998</c:v>
                </c:pt>
                <c:pt idx="2">
                  <c:v>0.48297776673710824</c:v>
                </c:pt>
                <c:pt idx="3">
                  <c:v>0.56285807136373156</c:v>
                </c:pt>
                <c:pt idx="4">
                  <c:v>0.65421714359269434</c:v>
                </c:pt>
                <c:pt idx="5">
                  <c:v>0.75845031141281127</c:v>
                </c:pt>
                <c:pt idx="6">
                  <c:v>0.87709076049183232</c:v>
                </c:pt>
                <c:pt idx="7">
                  <c:v>1.0118199634082092</c:v>
                </c:pt>
                <c:pt idx="8">
                  <c:v>1.1644786835470327</c:v>
                </c:pt>
                <c:pt idx="9">
                  <c:v>1.3370785877220184</c:v>
                </c:pt>
                <c:pt idx="10">
                  <c:v>1.5318145071953646</c:v>
                </c:pt>
                <c:pt idx="11">
                  <c:v>1.7510773934047037</c:v>
                </c:pt>
                <c:pt idx="12">
                  <c:v>1.9974680225065473</c:v>
                </c:pt>
                <c:pt idx="13">
                  <c:v>2.2738115119614086</c:v>
                </c:pt>
                <c:pt idx="14">
                  <c:v>2.5831727229902293</c:v>
                </c:pt>
                <c:pt idx="15">
                  <c:v>2.9288726350217411</c:v>
                </c:pt>
                <c:pt idx="16">
                  <c:v>3.3145057924516652</c:v>
                </c:pt>
                <c:pt idx="17">
                  <c:v>3.7439589404075044</c:v>
                </c:pt>
                <c:pt idx="18">
                  <c:v>4.2214309850588165</c:v>
                </c:pt>
                <c:pt idx="19">
                  <c:v>4.7514544356846953</c:v>
                </c:pt>
                <c:pt idx="20">
                  <c:v>5.3389185106201165</c:v>
                </c:pt>
                <c:pt idx="21">
                  <c:v>5.9890941178383992</c:v>
                </c:pt>
                <c:pt idx="22">
                  <c:v>6.7076609538640382</c:v>
                </c:pt>
                <c:pt idx="23">
                  <c:v>7.5007370026358977</c:v>
                </c:pt>
                <c:pt idx="24">
                  <c:v>8.3749107596732788</c:v>
                </c:pt>
                <c:pt idx="25">
                  <c:v>9.3372765574209122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5-F078-4F9D-8E12-A7749FC4F1B8}"/>
            </c:ext>
          </c:extLst>
        </c:ser>
        <c:ser>
          <c:idx val="2"/>
          <c:order val="2"/>
          <c:tx>
            <c:strRef>
              <c:f>'Diagramme psychro -10 à +40°C'!$X$73</c:f>
              <c:strCache>
                <c:ptCount val="1"/>
                <c:pt idx="0">
                  <c:v>30 % HR</c:v>
                </c:pt>
              </c:strCache>
            </c:strRef>
          </c:tx>
          <c:spPr>
            <a:ln w="3175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F078-4F9D-8E12-A7749FC4F1B8}"/>
                </c:ext>
              </c:extLst>
            </c:dLbl>
            <c:dLbl>
              <c:idx val="24"/>
              <c:layout>
                <c:manualLayout>
                  <c:x val="-6.4465733363532424E-2"/>
                  <c:y val="2.547544301064744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18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+40°C'!$X$74:$X$99</c:f>
              <c:numCache>
                <c:formatCode>#\ ##0.00\ "gr/kg";\-#\ ##0.00\ "gr/kg"</c:formatCode>
                <c:ptCount val="26"/>
                <c:pt idx="0">
                  <c:v>0.52920402107854159</c:v>
                </c:pt>
                <c:pt idx="1">
                  <c:v>0.62016935943860618</c:v>
                </c:pt>
                <c:pt idx="2">
                  <c:v>0.72474803047962388</c:v>
                </c:pt>
                <c:pt idx="3">
                  <c:v>0.84466928463763236</c:v>
                </c:pt>
                <c:pt idx="4">
                  <c:v>0.98184206419185083</c:v>
                </c:pt>
                <c:pt idx="5">
                  <c:v>1.1383695159245673</c:v>
                </c:pt>
                <c:pt idx="6">
                  <c:v>1.3165643935232403</c:v>
                </c:pt>
                <c:pt idx="7">
                  <c:v>1.5189654109696658</c:v>
                </c:pt>
                <c:pt idx="8">
                  <c:v>1.7483546183143654</c:v>
                </c:pt>
                <c:pt idx="9">
                  <c:v>2.0077758833053045</c:v>
                </c:pt>
                <c:pt idx="10">
                  <c:v>2.3005545766089988</c:v>
                </c:pt>
                <c:pt idx="11">
                  <c:v>2.6303185751507847</c:v>
                </c:pt>
                <c:pt idx="12">
                  <c:v>3.0010207177780215</c:v>
                </c:pt>
                <c:pt idx="13">
                  <c:v>3.4169628704427226</c:v>
                </c:pt>
                <c:pt idx="14">
                  <c:v>3.8828217849057625</c:v>
                </c:pt>
                <c:pt idx="15">
                  <c:v>4.4036769661657944</c:v>
                </c:pt>
                <c:pt idx="16">
                  <c:v>4.9850408000983446</c:v>
                </c:pt>
                <c:pt idx="17">
                  <c:v>5.6328912349677678</c:v>
                </c:pt>
                <c:pt idx="18">
                  <c:v>6.3537073595154387</c:v>
                </c:pt>
                <c:pt idx="19">
                  <c:v>7.1545082773934121</c:v>
                </c:pt>
                <c:pt idx="20">
                  <c:v>8.0428957442000275</c:v>
                </c:pt>
                <c:pt idx="21">
                  <c:v>9.027101110973728</c:v>
                </c:pt>
                <c:pt idx="22">
                  <c:v>10.116037208764761</c:v>
                </c:pt>
                <c:pt idx="23">
                  <c:v>11.319355915336621</c:v>
                </c:pt>
                <c:pt idx="24">
                  <c:v>12.647512270213221</c:v>
                </c:pt>
                <c:pt idx="25">
                  <c:v>14.111836151954368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50-F078-4F9D-8E12-A7749FC4F1B8}"/>
            </c:ext>
          </c:extLst>
        </c:ser>
        <c:ser>
          <c:idx val="3"/>
          <c:order val="3"/>
          <c:tx>
            <c:strRef>
              <c:f>'Diagramme psychro -10 à +40°C'!$Y$73</c:f>
              <c:strCache>
                <c:ptCount val="1"/>
                <c:pt idx="0">
                  <c:v>40 % HR</c:v>
                </c:pt>
              </c:strCache>
            </c:strRef>
          </c:tx>
          <c:spPr>
            <a:ln w="3175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F078-4F9D-8E12-A7749FC4F1B8}"/>
                </c:ext>
              </c:extLst>
            </c:dLbl>
            <c:dLbl>
              <c:idx val="24"/>
              <c:layout>
                <c:manualLayout>
                  <c:x val="-2.6138195004679149E-2"/>
                  <c:y val="-1.0421710403807283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4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+40°C'!$Y$74:$Y$99</c:f>
              <c:numCache>
                <c:formatCode>#\ ##0.00\ "gr/kg";\-#\ ##0.00\ "gr/kg"</c:formatCode>
                <c:ptCount val="26"/>
                <c:pt idx="0">
                  <c:v>0.70580553031519511</c:v>
                </c:pt>
                <c:pt idx="1">
                  <c:v>0.82716739022175478</c:v>
                </c:pt>
                <c:pt idx="2">
                  <c:v>0.96670617268382064</c:v>
                </c:pt>
                <c:pt idx="3">
                  <c:v>1.1267357445089599</c:v>
                </c:pt>
                <c:pt idx="4">
                  <c:v>1.3098119422134893</c:v>
                </c:pt>
                <c:pt idx="5">
                  <c:v>1.5187525494238048</c:v>
                </c:pt>
                <c:pt idx="6">
                  <c:v>1.7566586094654986</c:v>
                </c:pt>
                <c:pt idx="7">
                  <c:v>2.0269371864785626</c:v>
                </c:pt>
                <c:pt idx="8">
                  <c:v>2.3333257080084513</c:v>
                </c:pt>
                <c:pt idx="9">
                  <c:v>2.679918045275528</c:v>
                </c:pt>
                <c:pt idx="10">
                  <c:v>3.0711925147903201</c:v>
                </c:pt>
                <c:pt idx="11">
                  <c:v>3.5120420173258493</c:v>
                </c:pt>
                <c:pt idx="12">
                  <c:v>4.0078065682614774</c:v>
                </c:pt>
                <c:pt idx="13">
                  <c:v>4.5643085178973166</c:v>
                </c:pt>
                <c:pt idx="14">
                  <c:v>5.1878908125993624</c:v>
                </c:pt>
                <c:pt idx="15">
                  <c:v>5.8854587088810906</c:v>
                </c:pt>
                <c:pt idx="16">
                  <c:v>6.6645254243291827</c:v>
                </c:pt>
                <c:pt idx="17">
                  <c:v>7.5332622935390114</c:v>
                </c:pt>
                <c:pt idx="18">
                  <c:v>8.5005540962463506</c:v>
                </c:pt>
                <c:pt idx="19">
                  <c:v>9.5760603414429166</c:v>
                </c:pt>
                <c:pt idx="20">
                  <c:v>10.770283428898061</c:v>
                </c:pt>
                <c:pt idx="21">
                  <c:v>12.094644772435544</c:v>
                </c:pt>
                <c:pt idx="22">
                  <c:v>13.561570162798967</c:v>
                </c:pt>
                <c:pt idx="23">
                  <c:v>15.184585878533564</c:v>
                </c:pt>
                <c:pt idx="24">
                  <c:v>16.978427329188278</c:v>
                </c:pt>
                <c:pt idx="25">
                  <c:v>18.959162346557008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6B-F078-4F9D-8E12-A7749FC4F1B8}"/>
            </c:ext>
          </c:extLst>
        </c:ser>
        <c:ser>
          <c:idx val="4"/>
          <c:order val="4"/>
          <c:tx>
            <c:strRef>
              <c:f>'Diagramme psychro -10 à +40°C'!$Z$73</c:f>
              <c:strCache>
                <c:ptCount val="1"/>
                <c:pt idx="0">
                  <c:v>50 % HR</c:v>
                </c:pt>
              </c:strCache>
            </c:strRef>
          </c:tx>
          <c:spPr>
            <a:ln w="3175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6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7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8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9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A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B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C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E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F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0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1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2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F078-4F9D-8E12-A7749FC4F1B8}"/>
                </c:ext>
              </c:extLst>
            </c:dLbl>
            <c:dLbl>
              <c:idx val="24"/>
              <c:layout>
                <c:manualLayout>
                  <c:x val="-4.7915205435845584E-2"/>
                  <c:y val="2.5755611188364211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4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5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82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+40°C'!$Z$74:$Z$99</c:f>
              <c:numCache>
                <c:formatCode>#\ ##0.00\ "gr/kg";\-#\ ##0.00\ "gr/kg"</c:formatCode>
                <c:ptCount val="26"/>
                <c:pt idx="0">
                  <c:v>0.88250726599241847</c:v>
                </c:pt>
                <c:pt idx="1">
                  <c:v>1.0343031050601965</c:v>
                </c:pt>
                <c:pt idx="2">
                  <c:v>1.2088524124339413</c:v>
                </c:pt>
                <c:pt idx="3">
                  <c:v>1.4090577979139287</c:v>
                </c:pt>
                <c:pt idx="4">
                  <c:v>1.6381273227548883</c:v>
                </c:pt>
                <c:pt idx="5">
                  <c:v>1.8996002618362473</c:v>
                </c:pt>
                <c:pt idx="6">
                  <c:v>2.1973747237397023</c:v>
                </c:pt>
                <c:pt idx="7">
                  <c:v>2.5357373111734276</c:v>
                </c:pt>
                <c:pt idx="8">
                  <c:v>2.9193950367352612</c:v>
                </c:pt>
                <c:pt idx="9">
                  <c:v>3.3535097476264331</c:v>
                </c:pt>
                <c:pt idx="10">
                  <c:v>3.8437353586254588</c:v>
                </c:pt>
                <c:pt idx="11">
                  <c:v>4.3962582466095252</c:v>
                </c:pt>
                <c:pt idx="12">
                  <c:v>5.0178412235963101</c:v>
                </c:pt>
                <c:pt idx="13">
                  <c:v>5.7158715803867457</c:v>
                </c:pt>
                <c:pt idx="14">
                  <c:v>6.4984137814861169</c:v>
                </c:pt>
                <c:pt idx="15">
                  <c:v>7.3742674965753734</c:v>
                </c:pt>
                <c:pt idx="16">
                  <c:v>8.3530317774577387</c:v>
                </c:pt>
                <c:pt idx="17">
                  <c:v>9.4451763358734677</c:v>
                </c:pt>
                <c:pt idx="18">
                  <c:v>10.662121051489173</c:v>
                </c:pt>
                <c:pt idx="19">
                  <c:v>12.016325046468991</c:v>
                </c:pt>
                <c:pt idx="20">
                  <c:v>13.521386910470468</c:v>
                </c:pt>
                <c:pt idx="21">
                  <c:v>15.192157956626474</c:v>
                </c:pt>
                <c:pt idx="22">
                  <c:v>17.044870746321088</c:v>
                </c:pt>
                <c:pt idx="23">
                  <c:v>19.097285552555885</c:v>
                </c:pt>
                <c:pt idx="24">
                  <c:v>21.368857956469945</c:v>
                </c:pt>
                <c:pt idx="25">
                  <c:v>23.880931412147184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86-F078-4F9D-8E12-A7749FC4F1B8}"/>
            </c:ext>
          </c:extLst>
        </c:ser>
        <c:ser>
          <c:idx val="5"/>
          <c:order val="5"/>
          <c:tx>
            <c:strRef>
              <c:f>'Diagramme psychro -10 à +40°C'!$AA$73</c:f>
              <c:strCache>
                <c:ptCount val="1"/>
                <c:pt idx="0">
                  <c:v>60 % HR</c:v>
                </c:pt>
              </c:strCache>
            </c:strRef>
          </c:tx>
          <c:spPr>
            <a:ln w="3175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7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8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9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A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B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C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D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E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F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0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1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2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3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4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5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6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7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8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9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A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B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C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D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E-F078-4F9D-8E12-A7749FC4F1B8}"/>
                </c:ext>
              </c:extLst>
            </c:dLbl>
            <c:dLbl>
              <c:idx val="24"/>
              <c:layout>
                <c:manualLayout>
                  <c:x val="-6.9692215867012533E-2"/>
                  <c:y val="7.3762989939371706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9F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0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0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+40°C'!$AA$74:$AA$99</c:f>
              <c:numCache>
                <c:formatCode>#\ ##0.00\ "gr/kg";\-#\ ##0.00\ "gr/kg"</c:formatCode>
                <c:ptCount val="26"/>
                <c:pt idx="0">
                  <c:v>1.0593093134565159</c:v>
                </c:pt>
                <c:pt idx="1">
                  <c:v>1.2415766413697724</c:v>
                </c:pt>
                <c:pt idx="2">
                  <c:v>1.4511869691549917</c:v>
                </c:pt>
                <c:pt idx="3">
                  <c:v>1.6916357924177869</c:v>
                </c:pt>
                <c:pt idx="4">
                  <c:v>1.9667887520624063</c:v>
                </c:pt>
                <c:pt idx="5">
                  <c:v>2.2809135051654383</c:v>
                </c:pt>
                <c:pt idx="6">
                  <c:v>2.6387140554872262</c:v>
                </c:pt>
                <c:pt idx="7">
                  <c:v>3.0453678128902326</c:v>
                </c:pt>
                <c:pt idx="8">
                  <c:v>3.5065657001920005</c:v>
                </c:pt>
                <c:pt idx="9">
                  <c:v>4.0285556845333721</c:v>
                </c:pt>
                <c:pt idx="10">
                  <c:v>4.6181901798319256</c:v>
                </c:pt>
                <c:pt idx="11">
                  <c:v>5.2829778492872439</c:v>
                </c:pt>
                <c:pt idx="12">
                  <c:v>6.0311404345850113</c:v>
                </c:pt>
                <c:pt idx="13">
                  <c:v>6.8716753542992333</c:v>
                </c:pt>
                <c:pt idx="14">
                  <c:v>7.8144249515452406</c:v>
                </c:pt>
                <c:pt idx="15">
                  <c:v>8.8701534345277064</c:v>
                </c:pt>
                <c:pt idx="16">
                  <c:v>10.050632748618989</c:v>
                </c:pt>
                <c:pt idx="17">
                  <c:v>11.368738851656001</c:v>
                </c:pt>
                <c:pt idx="18">
                  <c:v>12.838560143580473</c:v>
                </c:pt>
                <c:pt idx="19">
                  <c:v>14.475520137818329</c:v>
                </c:pt>
                <c:pt idx="20">
                  <c:v>16.296516868084296</c:v>
                </c:pt>
                <c:pt idx="21">
                  <c:v>18.320082017336247</c:v>
                </c:pt>
                <c:pt idx="22">
                  <c:v>20.566563356714312</c:v>
                </c:pt>
                <c:pt idx="23">
                  <c:v>23.058334818823173</c:v>
                </c:pt>
                <c:pt idx="24">
                  <c:v>25.820039436881999</c:v>
                </c:pt>
                <c:pt idx="25">
                  <c:v>28.878871504758401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A1-F078-4F9D-8E12-A7749FC4F1B8}"/>
            </c:ext>
          </c:extLst>
        </c:ser>
        <c:ser>
          <c:idx val="6"/>
          <c:order val="6"/>
          <c:tx>
            <c:strRef>
              <c:f>'Diagramme psychro -10 à +40°C'!$AB$73</c:f>
              <c:strCache>
                <c:ptCount val="1"/>
                <c:pt idx="0">
                  <c:v>70 % HR</c:v>
                </c:pt>
              </c:strCache>
            </c:strRef>
          </c:tx>
          <c:spPr>
            <a:ln w="3175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2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3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4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5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6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7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8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9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A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B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C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D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E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AF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0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1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2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3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4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5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6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7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8-F078-4F9D-8E12-A7749FC4F1B8}"/>
                </c:ext>
              </c:extLst>
            </c:dLbl>
            <c:dLbl>
              <c:idx val="23"/>
              <c:layout>
                <c:manualLayout>
                  <c:x val="-5.9970877840096609E-2"/>
                  <c:y val="5.9296782469134918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9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18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+40°C'!$AB$74:$AB$99</c:f>
              <c:numCache>
                <c:formatCode>#\ ##0.00\ "gr/kg";\-#\ ##0.00\ "gr/kg"</c:formatCode>
                <c:ptCount val="26"/>
                <c:pt idx="0">
                  <c:v>1.2362117581507193</c:v>
                </c:pt>
                <c:pt idx="1">
                  <c:v>1.4489881367492492</c:v>
                </c:pt>
                <c:pt idx="2">
                  <c:v>1.6937100626134045</c:v>
                </c:pt>
                <c:pt idx="3">
                  <c:v>1.9744700762162457</c:v>
                </c:pt>
                <c:pt idx="4">
                  <c:v>2.2957967775345107</c:v>
                </c:pt>
                <c:pt idx="5">
                  <c:v>2.6626931334990962</c:v>
                </c:pt>
                <c:pt idx="6">
                  <c:v>3.0806779275828844</c:v>
                </c:pt>
                <c:pt idx="7">
                  <c:v>3.5558307260893334</c:v>
                </c:pt>
                <c:pt idx="8">
                  <c:v>4.0948408057216135</c:v>
                </c:pt>
                <c:pt idx="9">
                  <c:v>4.7050605704623552</c:v>
                </c:pt>
                <c:pt idx="10">
                  <c:v>5.3945640851743928</c:v>
                </c:pt>
                <c:pt idx="11">
                  <c:v>6.1722114716727292</c:v>
                </c:pt>
                <c:pt idx="12">
                  <c:v>7.0477200540119318</c:v>
                </c:pt>
                <c:pt idx="13">
                  <c:v>8.0317433079206761</c:v>
                </c:pt>
                <c:pt idx="14">
                  <c:v>9.1359588703055685</c:v>
                </c:pt>
                <c:pt idx="15">
                  <c:v>10.373167105509511</c:v>
                </c:pt>
                <c:pt idx="16">
                  <c:v>11.75740201425784</c:v>
                </c:pt>
                <c:pt idx="17">
                  <c:v>13.304056619906108</c:v>
                </c:pt>
                <c:pt idx="18">
                  <c:v>15.030025388547639</c:v>
                </c:pt>
                <c:pt idx="19">
                  <c:v>16.953866752317275</c:v>
                </c:pt>
                <c:pt idx="20">
                  <c:v>19.095989431275072</c:v>
                </c:pt>
                <c:pt idx="21">
                  <c:v>21.478867017384768</c:v>
                </c:pt>
                <c:pt idx="22">
                  <c:v>24.127286231522049</c:v>
                </c:pt>
                <c:pt idx="23">
                  <c:v>27.068635439498589</c:v>
                </c:pt>
                <c:pt idx="24">
                  <c:v>30.333241478944004</c:v>
                </c:pt>
                <c:pt idx="25">
                  <c:v>33.954764688675411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BA-F078-4F9D-8E12-A7749FC4F1B8}"/>
            </c:ext>
          </c:extLst>
        </c:ser>
        <c:ser>
          <c:idx val="7"/>
          <c:order val="7"/>
          <c:tx>
            <c:strRef>
              <c:f>'Diagramme psychro -10 à +40°C'!$AC$73</c:f>
              <c:strCache>
                <c:ptCount val="1"/>
                <c:pt idx="0">
                  <c:v>80 % HR</c:v>
                </c:pt>
              </c:strCache>
            </c:strRef>
          </c:tx>
          <c:spPr>
            <a:ln w="3175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B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C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D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E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BF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0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1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2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3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4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6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7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8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9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A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B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C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D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E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F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0-F078-4F9D-8E12-A7749FC4F1B8}"/>
                </c:ext>
              </c:extLst>
            </c:dLbl>
            <c:dLbl>
              <c:idx val="22"/>
              <c:layout>
                <c:manualLayout>
                  <c:x val="-4.502317162467899E-2"/>
                  <c:y val="2.984315478737203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1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24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+40°C'!$AC$74:$AC$99</c:f>
              <c:numCache>
                <c:formatCode>#\ ##0.00\ "gr/kg";\-#\ ##0.00\ "gr/kg"</c:formatCode>
                <c:ptCount val="26"/>
                <c:pt idx="0">
                  <c:v>1.4132146856153256</c:v>
                </c:pt>
                <c:pt idx="1">
                  <c:v>1.6565377289806233</c:v>
                </c:pt>
                <c:pt idx="2">
                  <c:v>1.936421912917702</c:v>
                </c:pt>
                <c:pt idx="3">
                  <c:v>2.2575609981369071</c:v>
                </c:pt>
                <c:pt idx="4">
                  <c:v>2.6251519477248162</c:v>
                </c:pt>
                <c:pt idx="5">
                  <c:v>3.0449400030154914</c:v>
                </c:pt>
                <c:pt idx="6">
                  <c:v>3.5232676666481497</c:v>
                </c:pt>
                <c:pt idx="7">
                  <c:v>4.0671280918825401</c:v>
                </c:pt>
                <c:pt idx="8">
                  <c:v>4.6842234723675968</c:v>
                </c:pt>
                <c:pt idx="9">
                  <c:v>5.3830291402798025</c:v>
                </c:pt>
                <c:pt idx="10">
                  <c:v>6.1728642166820729</c:v>
                </c:pt>
                <c:pt idx="11">
                  <c:v>7.0639698205340729</c:v>
                </c:pt>
                <c:pt idx="12">
                  <c:v>8.0675960374699844</c:v>
                </c:pt>
                <c:pt idx="13">
                  <c:v>9.1960990830230429</c:v>
                </c:pt>
                <c:pt idx="14">
                  <c:v>10.463050375868715</c:v>
                </c:pt>
                <c:pt idx="15">
                  <c:v>11.883359575486153</c:v>
                </c:pt>
                <c:pt idx="16">
                  <c:v>13.473414048788047</c:v>
                </c:pt>
                <c:pt idx="17">
                  <c:v>15.25123772873669</c:v>
                </c:pt>
                <c:pt idx="18">
                  <c:v>17.236672936440481</c:v>
                </c:pt>
                <c:pt idx="19">
                  <c:v>19.451589484559658</c:v>
                </c:pt>
                <c:pt idx="20">
                  <c:v>21.920126299995797</c:v>
                </c:pt>
                <c:pt idx="21">
                  <c:v>24.66897194450118</c:v>
                </c:pt>
                <c:pt idx="22">
                  <c:v>27.727691834054522</c:v>
                </c:pt>
                <c:pt idx="23">
                  <c:v>31.129111741902143</c:v>
                </c:pt>
                <c:pt idx="24">
                  <c:v>34.909769422390674</c:v>
                </c:pt>
                <c:pt idx="25">
                  <c:v>39.110449054979121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D2-F078-4F9D-8E12-A7749FC4F1B8}"/>
            </c:ext>
          </c:extLst>
        </c:ser>
        <c:ser>
          <c:idx val="8"/>
          <c:order val="8"/>
          <c:tx>
            <c:strRef>
              <c:f>'Diagramme psychro -10 à +40°C'!$AD$73</c:f>
              <c:strCache>
                <c:ptCount val="1"/>
                <c:pt idx="0">
                  <c:v>90 % HR</c:v>
                </c:pt>
              </c:strCache>
            </c:strRef>
          </c:tx>
          <c:spPr>
            <a:ln w="3175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3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4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5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6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7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A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B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C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D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E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F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0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1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2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3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4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5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6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7-F078-4F9D-8E12-A7749FC4F1B8}"/>
                </c:ext>
              </c:extLst>
            </c:dLbl>
            <c:dLbl>
              <c:idx val="21"/>
              <c:layout>
                <c:manualLayout>
                  <c:x val="-2.8333304574768656E-2"/>
                  <c:y val="-8.6432636257261549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8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36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+40°C'!$AD$74:$AD$99</c:f>
              <c:numCache>
                <c:formatCode>#\ ##0.00\ "gr/kg";\-#\ ##0.00\ "gr/kg"</c:formatCode>
                <c:ptCount val="26"/>
                <c:pt idx="0">
                  <c:v>1.5903181814878362</c:v>
                </c:pt>
                <c:pt idx="1">
                  <c:v>1.8642255560294259</c:v>
                </c:pt>
                <c:pt idx="2">
                  <c:v>2.1793227405191633</c:v>
                </c:pt>
                <c:pt idx="3">
                  <c:v>2.5409089076406985</c:v>
                </c:pt>
                <c:pt idx="4">
                  <c:v>2.9548548123451353</c:v>
                </c:pt>
                <c:pt idx="5">
                  <c:v>3.427654971989845</c:v>
                </c:pt>
                <c:pt idx="6">
                  <c:v>3.9664846030644241</c:v>
                </c:pt>
                <c:pt idx="7">
                  <c:v>4.5792619580603251</c:v>
                </c:pt>
                <c:pt idx="8">
                  <c:v>5.274716830929127</c:v>
                </c:pt>
                <c:pt idx="9">
                  <c:v>6.0624661493630061</c:v>
                </c:pt>
                <c:pt idx="10">
                  <c:v>6.9530977518677339</c:v>
                </c:pt>
                <c:pt idx="11">
                  <c:v>7.9582636635234572</c:v>
                </c:pt>
                <c:pt idx="12">
                  <c:v>9.09078444419543</c:v>
                </c:pt>
                <c:pt idx="13">
                  <c:v>10.364766496470443</c:v>
                </c:pt>
                <c:pt idx="14">
                  <c:v>11.795734599970446</c:v>
                </c:pt>
                <c:pt idx="15">
                  <c:v>13.400782399400404</c:v>
                </c:pt>
                <c:pt idx="16">
                  <c:v>15.198744135424771</c:v>
                </c:pt>
                <c:pt idx="17">
                  <c:v>17.210391595477347</c:v>
                </c:pt>
                <c:pt idx="18">
                  <c:v>19.458661108420554</c:v>
                </c:pt>
                <c:pt idx="19">
                  <c:v>21.968916454755519</c:v>
                </c:pt>
                <c:pt idx="20">
                  <c:v>24.769254867853014</c:v>
                </c:pt>
                <c:pt idx="21">
                  <c:v>27.890864933656321</c:v>
                </c:pt>
                <c:pt idx="22">
                  <c:v>31.368447251959886</c:v>
                </c:pt>
                <c:pt idx="23">
                  <c:v>35.240711328775276</c:v>
                </c:pt>
                <c:pt idx="24">
                  <c:v>39.550965496879421</c:v>
                </c:pt>
                <c:pt idx="25">
                  <c:v>44.347820940791252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E9-F078-4F9D-8E12-A7749FC4F1B8}"/>
            </c:ext>
          </c:extLst>
        </c:ser>
        <c:ser>
          <c:idx val="9"/>
          <c:order val="9"/>
          <c:tx>
            <c:strRef>
              <c:f>'Diagramme psychro -10 à +40°C'!$AE$73</c:f>
              <c:strCache>
                <c:ptCount val="1"/>
                <c:pt idx="0">
                  <c:v>100 % HR</c:v>
                </c:pt>
              </c:strCache>
            </c:strRef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A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B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C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D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E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EF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0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1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2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3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4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5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6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7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8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9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A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B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C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D-F078-4F9D-8E12-A7749FC4F1B8}"/>
                </c:ext>
              </c:extLst>
            </c:dLbl>
            <c:dLbl>
              <c:idx val="20"/>
              <c:layout>
                <c:manualLayout>
                  <c:x val="-2.1225322114571489E-2"/>
                  <c:y val="-2.9951459037992727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E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FF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0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48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+40°C'!$AE$74:$AE$99</c:f>
              <c:numCache>
                <c:formatCode>#\ ##0.00\ "gr/kg";\-#\ ##0.00\ "gr/kg"</c:formatCode>
                <c:ptCount val="26"/>
                <c:pt idx="0">
                  <c:v>1.7675223315030932</c:v>
                </c:pt>
                <c:pt idx="1">
                  <c:v>2.0720517560450276</c:v>
                </c:pt>
                <c:pt idx="2">
                  <c:v>2.4224127662124917</c:v>
                </c:pt>
                <c:pt idx="3">
                  <c:v>2.8245141548233104</c:v>
                </c:pt>
                <c:pt idx="4">
                  <c:v>3.2849059222685346</c:v>
                </c:pt>
                <c:pt idx="5">
                  <c:v>3.8108389008007535</c:v>
                </c:pt>
                <c:pt idx="6">
                  <c:v>4.4103300709863733</c:v>
                </c:pt>
                <c:pt idx="7">
                  <c:v>5.0922343791191578</c:v>
                </c:pt>
                <c:pt idx="8">
                  <c:v>5.8663240240164942</c:v>
                </c:pt>
                <c:pt idx="9">
                  <c:v>6.7433763737113148</c:v>
                </c:pt>
                <c:pt idx="10">
                  <c:v>7.7352719039483269</c:v>
                </c:pt>
                <c:pt idx="11">
                  <c:v>8.8551038296105418</c:v>
                </c:pt>
                <c:pt idx="12">
                  <c:v>10.117301437910784</c:v>
                </c:pt>
                <c:pt idx="13">
                  <c:v>11.53776954184306</c:v>
                </c:pt>
                <c:pt idx="14">
                  <c:v>13.134046971080847</c:v>
                </c:pt>
                <c:pt idx="15">
                  <c:v>14.925487627039193</c:v>
                </c:pt>
                <c:pt idx="16">
                  <c:v>16.93346837719406</c:v>
                </c:pt>
                <c:pt idx="17">
                  <c:v>19.181628987169962</c:v>
                </c:pt>
                <c:pt idx="18">
                  <c:v>21.696150434626755</c:v>
                </c:pt>
                <c:pt idx="19">
                  <c:v>24.506079378183681</c:v>
                </c:pt>
                <c:pt idx="20">
                  <c:v>27.643708348629069</c:v>
                </c:pt>
                <c:pt idx="21">
                  <c:v>31.145023496074828</c:v>
                </c:pt>
                <c:pt idx="22">
                  <c:v>35.050234609271207</c:v>
                </c:pt>
                <c:pt idx="23">
                  <c:v>39.404405815542994</c:v>
                </c:pt>
                <c:pt idx="24">
                  <c:v>44.258210134435636</c:v>
                </c:pt>
                <c:pt idx="25">
                  <c:v>49.668837254847602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01-F078-4F9D-8E12-A7749FC4F1B8}"/>
            </c:ext>
          </c:extLst>
        </c:ser>
        <c:ser>
          <c:idx val="10"/>
          <c:order val="10"/>
          <c:tx>
            <c:strRef>
              <c:f>'Diagramme psychro -10 à +40°C'!$AF$73</c:f>
              <c:strCache>
                <c:ptCount val="1"/>
                <c:pt idx="0">
                  <c:v>0,75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8873258525344079E-3"/>
                  <c:y val="6.218219001409884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2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+40°C'!$AF$74:$AF$99</c:f>
              <c:numCache>
                <c:formatCode>#\ ##0.00\ "gr/kg";\-#\ ##0.00\ "gr/kg"</c:formatCode>
                <c:ptCount val="26"/>
                <c:pt idx="0">
                  <c:v>4.1055275938914519</c:v>
                </c:pt>
                <c:pt idx="1">
                  <c:v>-0.6171239436828273</c:v>
                </c:pt>
                <c:pt idx="2">
                  <c:v>-5.2690638729832244</c:v>
                </c:pt>
                <c:pt idx="3">
                  <c:v>-9.8518685256083245</c:v>
                </c:pt>
                <c:pt idx="4">
                  <c:v>-14.367067725124343</c:v>
                </c:pt>
                <c:pt idx="5">
                  <c:v>-18.816146489721746</c:v>
                </c:pt>
                <c:pt idx="6">
                  <c:v>-23.200546660612304</c:v>
                </c:pt>
                <c:pt idx="7">
                  <c:v>-27.521668459922353</c:v>
                </c:pt>
                <c:pt idx="8">
                  <c:v>-31.780871981613814</c:v>
                </c:pt>
                <c:pt idx="9">
                  <c:v>-35.979478618771054</c:v>
                </c:pt>
                <c:pt idx="10">
                  <c:v>-40.118772430399076</c:v>
                </c:pt>
                <c:pt idx="11">
                  <c:v>-44.200001450701393</c:v>
                </c:pt>
                <c:pt idx="12">
                  <c:v>-48.22437894364441</c:v>
                </c:pt>
                <c:pt idx="13">
                  <c:v>-52.19308460545551</c:v>
                </c:pt>
                <c:pt idx="14">
                  <c:v>-56.107265717559585</c:v>
                </c:pt>
                <c:pt idx="15">
                  <c:v>-59.968038252319616</c:v>
                </c:pt>
                <c:pt idx="16">
                  <c:v>-63.776487933821841</c:v>
                </c:pt>
                <c:pt idx="17">
                  <c:v>-67.533671255821901</c:v>
                </c:pt>
                <c:pt idx="18">
                  <c:v>-71.240616458858426</c:v>
                </c:pt>
                <c:pt idx="19">
                  <c:v>-74.898324468429337</c:v>
                </c:pt>
                <c:pt idx="20">
                  <c:v>-78.507769796033358</c:v>
                </c:pt>
                <c:pt idx="21">
                  <c:v>-82.06990140477626</c:v>
                </c:pt>
                <c:pt idx="22">
                  <c:v>-85.585643541160607</c:v>
                </c:pt>
                <c:pt idx="23">
                  <c:v>-89.055896534586736</c:v>
                </c:pt>
                <c:pt idx="24">
                  <c:v>-92.481537566021075</c:v>
                </c:pt>
                <c:pt idx="25">
                  <c:v>-95.863421407208989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03-F078-4F9D-8E12-A7749FC4F1B8}"/>
            </c:ext>
          </c:extLst>
        </c:ser>
        <c:ser>
          <c:idx val="11"/>
          <c:order val="11"/>
          <c:tx>
            <c:strRef>
              <c:f>'Diagramme psychro -10 à +40°C'!$AG$73</c:f>
              <c:strCache>
                <c:ptCount val="1"/>
                <c:pt idx="0">
                  <c:v>0,76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1.5969958164522811E-3"/>
                  <c:y val="7.1912942446898803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4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5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6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+40°C'!$AG$74:$AG$99</c:f>
              <c:numCache>
                <c:formatCode>#\ ##0.00\ "gr/kg";\-#\ ##0.00\ "gr/kg"</c:formatCode>
                <c:ptCount val="26"/>
                <c:pt idx="0">
                  <c:v>12.453601295143244</c:v>
                </c:pt>
                <c:pt idx="1">
                  <c:v>7.6679810704014244</c:v>
                </c:pt>
                <c:pt idx="2">
                  <c:v>2.9540152753769462</c:v>
                </c:pt>
                <c:pt idx="3">
                  <c:v>-1.6898934392830824</c:v>
                </c:pt>
                <c:pt idx="4">
                  <c:v>-6.2652952947927361</c:v>
                </c:pt>
                <c:pt idx="5">
                  <c:v>-10.773695109584651</c:v>
                </c:pt>
                <c:pt idx="6">
                  <c:v>-15.216553949420472</c:v>
                </c:pt>
                <c:pt idx="7">
                  <c:v>-19.595290706054698</c:v>
                </c:pt>
                <c:pt idx="8">
                  <c:v>-23.911283608035319</c:v>
                </c:pt>
                <c:pt idx="9">
                  <c:v>-28.165871667021293</c:v>
                </c:pt>
                <c:pt idx="10">
                  <c:v>-32.360356062804385</c:v>
                </c:pt>
                <c:pt idx="11">
                  <c:v>-36.496001470044007</c:v>
                </c:pt>
                <c:pt idx="12">
                  <c:v>-40.574037329559701</c:v>
                </c:pt>
                <c:pt idx="13">
                  <c:v>-44.595659066861685</c:v>
                </c:pt>
                <c:pt idx="14">
                  <c:v>-48.562029260460463</c:v>
                </c:pt>
                <c:pt idx="15">
                  <c:v>-52.474278762350536</c:v>
                </c:pt>
                <c:pt idx="16">
                  <c:v>-56.33350777293947</c:v>
                </c:pt>
                <c:pt idx="17">
                  <c:v>-60.140786872566196</c:v>
                </c:pt>
                <c:pt idx="18">
                  <c:v>-63.897158011643114</c:v>
                </c:pt>
                <c:pt idx="19">
                  <c:v>-67.603635461341696</c:v>
                </c:pt>
                <c:pt idx="20">
                  <c:v>-71.26120672664706</c:v>
                </c:pt>
                <c:pt idx="21">
                  <c:v>-74.87083342350661</c:v>
                </c:pt>
                <c:pt idx="22">
                  <c:v>-78.433452121709479</c:v>
                </c:pt>
                <c:pt idx="23">
                  <c:v>-81.949975155047923</c:v>
                </c:pt>
                <c:pt idx="24">
                  <c:v>-85.421291400234736</c:v>
                </c:pt>
                <c:pt idx="25">
                  <c:v>-88.848267025971722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07-F078-4F9D-8E12-A7749FC4F1B8}"/>
            </c:ext>
          </c:extLst>
        </c:ser>
        <c:ser>
          <c:idx val="12"/>
          <c:order val="12"/>
          <c:tx>
            <c:strRef>
              <c:f>'Diagramme psychro -10 à +40°C'!$AH$73</c:f>
              <c:strCache>
                <c:ptCount val="1"/>
                <c:pt idx="0">
                  <c:v>0,77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4.210237068192282E-3"/>
                  <c:y val="8.16438890122373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8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9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A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B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C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+40°C'!$AH$74:$AH$99</c:f>
              <c:numCache>
                <c:formatCode>#\ ##0.00\ "gr/kg";\-#\ ##0.00\ "gr/kg"</c:formatCode>
                <c:ptCount val="26"/>
                <c:pt idx="0">
                  <c:v>20.80167499639515</c:v>
                </c:pt>
                <c:pt idx="1">
                  <c:v>15.953086084485676</c:v>
                </c:pt>
                <c:pt idx="2">
                  <c:v>11.17709442373723</c:v>
                </c:pt>
                <c:pt idx="3">
                  <c:v>6.4720816470420459</c:v>
                </c:pt>
                <c:pt idx="4">
                  <c:v>1.8364771355389848</c:v>
                </c:pt>
                <c:pt idx="5">
                  <c:v>-2.7312437294476695</c:v>
                </c:pt>
                <c:pt idx="6">
                  <c:v>-7.2325612382286408</c:v>
                </c:pt>
                <c:pt idx="7">
                  <c:v>-11.668912952187043</c:v>
                </c:pt>
                <c:pt idx="8">
                  <c:v>-16.041695234456824</c:v>
                </c:pt>
                <c:pt idx="9">
                  <c:v>-20.352264715271531</c:v>
                </c:pt>
                <c:pt idx="10">
                  <c:v>-24.601939695209694</c:v>
                </c:pt>
                <c:pt idx="11">
                  <c:v>-28.792001489386735</c:v>
                </c:pt>
                <c:pt idx="12">
                  <c:v>-32.923695715474992</c:v>
                </c:pt>
                <c:pt idx="13">
                  <c:v>-36.998233528267747</c:v>
                </c:pt>
                <c:pt idx="14">
                  <c:v>-41.016792803361227</c:v>
                </c:pt>
                <c:pt idx="15">
                  <c:v>-44.980519272381457</c:v>
                </c:pt>
                <c:pt idx="16">
                  <c:v>-48.890527612056985</c:v>
                </c:pt>
                <c:pt idx="17">
                  <c:v>-52.747902489310491</c:v>
                </c:pt>
                <c:pt idx="18">
                  <c:v>-56.553699564427916</c:v>
                </c:pt>
                <c:pt idx="19">
                  <c:v>-60.308946454254169</c:v>
                </c:pt>
                <c:pt idx="20">
                  <c:v>-64.014643657260876</c:v>
                </c:pt>
                <c:pt idx="21">
                  <c:v>-67.671765442236961</c:v>
                </c:pt>
                <c:pt idx="22">
                  <c:v>-71.281260702258237</c:v>
                </c:pt>
                <c:pt idx="23">
                  <c:v>-74.84405377550911</c:v>
                </c:pt>
                <c:pt idx="24">
                  <c:v>-78.361045234448397</c:v>
                </c:pt>
                <c:pt idx="25">
                  <c:v>-81.83311264473457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0D-F078-4F9D-8E12-A7749FC4F1B8}"/>
            </c:ext>
          </c:extLst>
        </c:ser>
        <c:ser>
          <c:idx val="13"/>
          <c:order val="13"/>
          <c:tx>
            <c:strRef>
              <c:f>'Diagramme psychro -10 à +40°C'!$AI$73</c:f>
              <c:strCache>
                <c:ptCount val="1"/>
                <c:pt idx="0">
                  <c:v>0,78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3.3391566509456041E-3"/>
                  <c:y val="8.2498895389031268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E-F078-4F9D-8E12-A7749FC4F1B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0F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0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1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2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3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4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+40°C'!$AI$74:$AI$99</c:f>
              <c:numCache>
                <c:formatCode>#\ ##0.00\ "gr/kg";\-#\ ##0.00\ "gr/kg"</c:formatCode>
                <c:ptCount val="26"/>
                <c:pt idx="0">
                  <c:v>29.149748697647055</c:v>
                </c:pt>
                <c:pt idx="1">
                  <c:v>24.238191098569928</c:v>
                </c:pt>
                <c:pt idx="2">
                  <c:v>19.400173572097401</c:v>
                </c:pt>
                <c:pt idx="3">
                  <c:v>14.634056733367288</c:v>
                </c:pt>
                <c:pt idx="4">
                  <c:v>9.9382495658705921</c:v>
                </c:pt>
                <c:pt idx="5">
                  <c:v>5.3112076506894255</c:v>
                </c:pt>
                <c:pt idx="6">
                  <c:v>0.75143147296319057</c:v>
                </c:pt>
                <c:pt idx="7">
                  <c:v>-3.7425351983192741</c:v>
                </c:pt>
                <c:pt idx="8">
                  <c:v>-8.1721068608783298</c:v>
                </c:pt>
                <c:pt idx="9">
                  <c:v>-12.538657763521883</c:v>
                </c:pt>
                <c:pt idx="10">
                  <c:v>-16.843523327615003</c:v>
                </c:pt>
                <c:pt idx="11">
                  <c:v>-21.088001508729462</c:v>
                </c:pt>
                <c:pt idx="12">
                  <c:v>-25.273354101390169</c:v>
                </c:pt>
                <c:pt idx="13">
                  <c:v>-29.400807989673808</c:v>
                </c:pt>
                <c:pt idx="14">
                  <c:v>-33.471556346261991</c:v>
                </c:pt>
                <c:pt idx="15">
                  <c:v>-37.486759782412378</c:v>
                </c:pt>
                <c:pt idx="16">
                  <c:v>-41.447547451174614</c:v>
                </c:pt>
                <c:pt idx="17">
                  <c:v>-45.355018106054786</c:v>
                </c:pt>
                <c:pt idx="18">
                  <c:v>-49.210241117212718</c:v>
                </c:pt>
                <c:pt idx="19">
                  <c:v>-53.014257447166528</c:v>
                </c:pt>
                <c:pt idx="20">
                  <c:v>-56.768080587874692</c:v>
                </c:pt>
                <c:pt idx="21">
                  <c:v>-60.472697460967311</c:v>
                </c:pt>
                <c:pt idx="22">
                  <c:v>-64.129069282807109</c:v>
                </c:pt>
                <c:pt idx="23">
                  <c:v>-67.738132395970183</c:v>
                </c:pt>
                <c:pt idx="24">
                  <c:v>-71.300799068661945</c:v>
                </c:pt>
                <c:pt idx="25">
                  <c:v>-74.817958263497303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15-F078-4F9D-8E12-A7749FC4F1B8}"/>
            </c:ext>
          </c:extLst>
        </c:ser>
        <c:ser>
          <c:idx val="14"/>
          <c:order val="14"/>
          <c:tx>
            <c:strRef>
              <c:f>'Diagramme psychro -10 à +40°C'!$AJ$73</c:f>
              <c:strCache>
                <c:ptCount val="1"/>
                <c:pt idx="0">
                  <c:v>0,79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-2.1329887591387722E-2"/>
                  <c:y val="-6.7613417322345765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6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7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8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9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A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B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+40°C'!$AJ$74:$AJ$99</c:f>
              <c:numCache>
                <c:formatCode>#\ ##0.00\ "gr/kg";\-#\ ##0.00\ "gr/kg"</c:formatCode>
                <c:ptCount val="26"/>
                <c:pt idx="0">
                  <c:v>37.497822398898961</c:v>
                </c:pt>
                <c:pt idx="1">
                  <c:v>32.52329611265418</c:v>
                </c:pt>
                <c:pt idx="2">
                  <c:v>27.623252720457572</c:v>
                </c:pt>
                <c:pt idx="3">
                  <c:v>22.79603181969253</c:v>
                </c:pt>
                <c:pt idx="4">
                  <c:v>18.040021996202313</c:v>
                </c:pt>
                <c:pt idx="5">
                  <c:v>13.353659030826407</c:v>
                </c:pt>
                <c:pt idx="6">
                  <c:v>8.735424184155022</c:v>
                </c:pt>
                <c:pt idx="7">
                  <c:v>4.1838425555483809</c:v>
                </c:pt>
                <c:pt idx="8">
                  <c:v>-0.3025184872999489</c:v>
                </c:pt>
                <c:pt idx="9">
                  <c:v>-4.7250508117721211</c:v>
                </c:pt>
                <c:pt idx="10">
                  <c:v>-9.0851069600203118</c:v>
                </c:pt>
                <c:pt idx="11">
                  <c:v>-13.384001528072076</c:v>
                </c:pt>
                <c:pt idx="12">
                  <c:v>-17.623012487305459</c:v>
                </c:pt>
                <c:pt idx="13">
                  <c:v>-21.803382451079869</c:v>
                </c:pt>
                <c:pt idx="14">
                  <c:v>-25.926319889162755</c:v>
                </c:pt>
                <c:pt idx="15">
                  <c:v>-29.993000292443298</c:v>
                </c:pt>
                <c:pt idx="16">
                  <c:v>-34.004567290292243</c:v>
                </c:pt>
                <c:pt idx="17">
                  <c:v>-37.962133722799081</c:v>
                </c:pt>
                <c:pt idx="18">
                  <c:v>-41.866782669997519</c:v>
                </c:pt>
                <c:pt idx="19">
                  <c:v>-45.719568440078888</c:v>
                </c:pt>
                <c:pt idx="20">
                  <c:v>-49.521517518488395</c:v>
                </c:pt>
                <c:pt idx="21">
                  <c:v>-53.273629479697661</c:v>
                </c:pt>
                <c:pt idx="22">
                  <c:v>-56.976877863355867</c:v>
                </c:pt>
                <c:pt idx="23">
                  <c:v>-60.63221101643137</c:v>
                </c:pt>
                <c:pt idx="24">
                  <c:v>-64.240552902875606</c:v>
                </c:pt>
                <c:pt idx="25">
                  <c:v>-67.802803882260037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1C-F078-4F9D-8E12-A7749FC4F1B8}"/>
            </c:ext>
          </c:extLst>
        </c:ser>
        <c:ser>
          <c:idx val="15"/>
          <c:order val="15"/>
          <c:tx>
            <c:strRef>
              <c:f>'Diagramme psychro -10 à +40°C'!$AK$73</c:f>
              <c:strCache>
                <c:ptCount val="1"/>
                <c:pt idx="0">
                  <c:v>0,80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4"/>
              <c:layout>
                <c:manualLayout>
                  <c:x val="-2.073748541858874E-2"/>
                  <c:y val="-9.1167272421699506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D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E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1F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0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1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2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+40°C'!$AK$74:$AK$99</c:f>
              <c:numCache>
                <c:formatCode>#\ ##0.00\ "gr/kg";\-#\ ##0.00\ "gr/kg"</c:formatCode>
                <c:ptCount val="26"/>
                <c:pt idx="0">
                  <c:v>45.845896100150867</c:v>
                </c:pt>
                <c:pt idx="1">
                  <c:v>40.808401126738318</c:v>
                </c:pt>
                <c:pt idx="2">
                  <c:v>35.846331868817856</c:v>
                </c:pt>
                <c:pt idx="3">
                  <c:v>30.958006906017772</c:v>
                </c:pt>
                <c:pt idx="4">
                  <c:v>26.14179442653392</c:v>
                </c:pt>
                <c:pt idx="5">
                  <c:v>21.396110410963502</c:v>
                </c:pt>
                <c:pt idx="6">
                  <c:v>16.719416895346853</c:v>
                </c:pt>
                <c:pt idx="7">
                  <c:v>12.11022030941615</c:v>
                </c:pt>
                <c:pt idx="8">
                  <c:v>7.5670698862785457</c:v>
                </c:pt>
                <c:pt idx="9">
                  <c:v>3.088556139977527</c:v>
                </c:pt>
                <c:pt idx="10">
                  <c:v>-1.3266905924256207</c:v>
                </c:pt>
                <c:pt idx="11">
                  <c:v>-5.680001547414804</c:v>
                </c:pt>
                <c:pt idx="12">
                  <c:v>-9.9726708732207499</c:v>
                </c:pt>
                <c:pt idx="13">
                  <c:v>-14.205956912485931</c:v>
                </c:pt>
                <c:pt idx="14">
                  <c:v>-18.381083432063633</c:v>
                </c:pt>
                <c:pt idx="15">
                  <c:v>-22.499240802474219</c:v>
                </c:pt>
                <c:pt idx="16">
                  <c:v>-26.561587129409872</c:v>
                </c:pt>
                <c:pt idx="17">
                  <c:v>-30.569249339543376</c:v>
                </c:pt>
                <c:pt idx="18">
                  <c:v>-34.523324222782321</c:v>
                </c:pt>
                <c:pt idx="19">
                  <c:v>-38.424879432991247</c:v>
                </c:pt>
                <c:pt idx="20">
                  <c:v>-42.274954449102211</c:v>
                </c:pt>
                <c:pt idx="21">
                  <c:v>-46.074561498428011</c:v>
                </c:pt>
                <c:pt idx="22">
                  <c:v>-49.824686443904625</c:v>
                </c:pt>
                <c:pt idx="23">
                  <c:v>-53.526289636892557</c:v>
                </c:pt>
                <c:pt idx="24">
                  <c:v>-57.180306737089154</c:v>
                </c:pt>
                <c:pt idx="25">
                  <c:v>-60.787649501022884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23-F078-4F9D-8E12-A7749FC4F1B8}"/>
            </c:ext>
          </c:extLst>
        </c:ser>
        <c:ser>
          <c:idx val="16"/>
          <c:order val="16"/>
          <c:tx>
            <c:strRef>
              <c:f>'Diagramme psychro -10 à +40°C'!$AL$73</c:f>
              <c:strCache>
                <c:ptCount val="1"/>
                <c:pt idx="0">
                  <c:v>0,81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0482070480067588E-2"/>
                  <c:y val="0.1014254674805417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4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5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6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7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8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9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A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+40°C'!$AL$74:$AL$99</c:f>
              <c:numCache>
                <c:formatCode>#\ ##0.00\ "gr/kg";\-#\ ##0.00\ "gr/kg"</c:formatCode>
                <c:ptCount val="26"/>
                <c:pt idx="0">
                  <c:v>54.193969801402659</c:v>
                </c:pt>
                <c:pt idx="1">
                  <c:v>49.093506140822569</c:v>
                </c:pt>
                <c:pt idx="2">
                  <c:v>44.069411017178027</c:v>
                </c:pt>
                <c:pt idx="3">
                  <c:v>39.119981992343014</c:v>
                </c:pt>
                <c:pt idx="4">
                  <c:v>34.243566856865641</c:v>
                </c:pt>
                <c:pt idx="5">
                  <c:v>29.438561791100483</c:v>
                </c:pt>
                <c:pt idx="6">
                  <c:v>24.703409606538685</c:v>
                </c:pt>
                <c:pt idx="7">
                  <c:v>20.036598063283805</c:v>
                </c:pt>
                <c:pt idx="8">
                  <c:v>15.43665825985704</c:v>
                </c:pt>
                <c:pt idx="9">
                  <c:v>10.902163091727289</c:v>
                </c:pt>
                <c:pt idx="10">
                  <c:v>6.4317257751690704</c:v>
                </c:pt>
                <c:pt idx="11">
                  <c:v>2.023998433242582</c:v>
                </c:pt>
                <c:pt idx="12">
                  <c:v>-2.3223292591360405</c:v>
                </c:pt>
                <c:pt idx="13">
                  <c:v>-6.6085313738919922</c:v>
                </c:pt>
                <c:pt idx="14">
                  <c:v>-10.835846974964397</c:v>
                </c:pt>
                <c:pt idx="15">
                  <c:v>-15.00548131250514</c:v>
                </c:pt>
                <c:pt idx="16">
                  <c:v>-19.118606968527502</c:v>
                </c:pt>
                <c:pt idx="17">
                  <c:v>-23.176364956287671</c:v>
                </c:pt>
                <c:pt idx="18">
                  <c:v>-27.179865775567009</c:v>
                </c:pt>
                <c:pt idx="19">
                  <c:v>-31.13019042590372</c:v>
                </c:pt>
                <c:pt idx="20">
                  <c:v>-35.028391379716027</c:v>
                </c:pt>
                <c:pt idx="21">
                  <c:v>-38.875493517158361</c:v>
                </c:pt>
                <c:pt idx="22">
                  <c:v>-42.672495024453497</c:v>
                </c:pt>
                <c:pt idx="23">
                  <c:v>-46.420368257353744</c:v>
                </c:pt>
                <c:pt idx="24">
                  <c:v>-50.120060571302815</c:v>
                </c:pt>
                <c:pt idx="25">
                  <c:v>-53.772495119785617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2B-F078-4F9D-8E12-A7749FC4F1B8}"/>
            </c:ext>
          </c:extLst>
        </c:ser>
        <c:ser>
          <c:idx val="17"/>
          <c:order val="17"/>
          <c:tx>
            <c:strRef>
              <c:f>'Diagramme psychro -10 à +40°C'!$AM$73</c:f>
              <c:strCache>
                <c:ptCount val="1"/>
                <c:pt idx="0">
                  <c:v>0,82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7"/>
              <c:layout>
                <c:manualLayout>
                  <c:x val="-1.9413456265745886E-2"/>
                  <c:y val="4.5396978490615039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C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D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E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2F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0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1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2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+40°C'!$AM$74:$AM$99</c:f>
              <c:numCache>
                <c:formatCode>#\ ##0.00\ "gr/kg";\-#\ ##0.00\ "gr/kg"</c:formatCode>
                <c:ptCount val="26"/>
                <c:pt idx="0">
                  <c:v>62.542043502654565</c:v>
                </c:pt>
                <c:pt idx="1">
                  <c:v>57.378611154906821</c:v>
                </c:pt>
                <c:pt idx="2">
                  <c:v>52.292490165538311</c:v>
                </c:pt>
                <c:pt idx="3">
                  <c:v>47.281957078668142</c:v>
                </c:pt>
                <c:pt idx="4">
                  <c:v>42.345339287197362</c:v>
                </c:pt>
                <c:pt idx="5">
                  <c:v>37.481013171237578</c:v>
                </c:pt>
                <c:pt idx="6">
                  <c:v>32.687402317730516</c:v>
                </c:pt>
                <c:pt idx="7">
                  <c:v>27.962975817151573</c:v>
                </c:pt>
                <c:pt idx="8">
                  <c:v>23.306246633435535</c:v>
                </c:pt>
                <c:pt idx="9">
                  <c:v>18.71577004347705</c:v>
                </c:pt>
                <c:pt idx="10">
                  <c:v>14.190142142763762</c:v>
                </c:pt>
                <c:pt idx="11">
                  <c:v>9.7279984138998543</c:v>
                </c:pt>
                <c:pt idx="12">
                  <c:v>5.3280123549487826</c:v>
                </c:pt>
                <c:pt idx="13">
                  <c:v>0.98889416470194647</c:v>
                </c:pt>
                <c:pt idx="14">
                  <c:v>-3.2906105178651615</c:v>
                </c:pt>
                <c:pt idx="15">
                  <c:v>-7.5117218225360602</c:v>
                </c:pt>
                <c:pt idx="16">
                  <c:v>-11.675626807645131</c:v>
                </c:pt>
                <c:pt idx="17">
                  <c:v>-15.783480573031966</c:v>
                </c:pt>
                <c:pt idx="18">
                  <c:v>-19.836407328351811</c:v>
                </c:pt>
                <c:pt idx="19">
                  <c:v>-23.835501418816079</c:v>
                </c:pt>
                <c:pt idx="20">
                  <c:v>-27.781828310329729</c:v>
                </c:pt>
                <c:pt idx="21">
                  <c:v>-31.676425535888711</c:v>
                </c:pt>
                <c:pt idx="22">
                  <c:v>-35.520303605002255</c:v>
                </c:pt>
                <c:pt idx="23">
                  <c:v>-39.314446877814817</c:v>
                </c:pt>
                <c:pt idx="24">
                  <c:v>-43.059814405516477</c:v>
                </c:pt>
                <c:pt idx="25">
                  <c:v>-46.757340738548464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33-F078-4F9D-8E12-A7749FC4F1B8}"/>
            </c:ext>
          </c:extLst>
        </c:ser>
        <c:ser>
          <c:idx val="18"/>
          <c:order val="18"/>
          <c:tx>
            <c:strRef>
              <c:f>'Diagramme psychro -10 à +40°C'!$AN$73</c:f>
              <c:strCache>
                <c:ptCount val="1"/>
                <c:pt idx="0">
                  <c:v>0,83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9"/>
              <c:layout>
                <c:manualLayout>
                  <c:x val="-1.8821168407925869E-2"/>
                  <c:y val="4.8388817345202404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4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5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6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7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8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9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A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+40°C'!$AN$74:$AN$99</c:f>
              <c:numCache>
                <c:formatCode>#\ ##0.00\ "gr/kg";\-#\ ##0.00\ "gr/kg"</c:formatCode>
                <c:ptCount val="26"/>
                <c:pt idx="0">
                  <c:v>70.89011720390647</c:v>
                </c:pt>
                <c:pt idx="1">
                  <c:v>65.663716168991073</c:v>
                </c:pt>
                <c:pt idx="2">
                  <c:v>60.515569313898482</c:v>
                </c:pt>
                <c:pt idx="3">
                  <c:v>55.443932164993385</c:v>
                </c:pt>
                <c:pt idx="4">
                  <c:v>50.447111717528969</c:v>
                </c:pt>
                <c:pt idx="5">
                  <c:v>45.523464551374673</c:v>
                </c:pt>
                <c:pt idx="6">
                  <c:v>40.671395028922348</c:v>
                </c:pt>
                <c:pt idx="7">
                  <c:v>35.889353571019228</c:v>
                </c:pt>
                <c:pt idx="8">
                  <c:v>31.17583500701403</c:v>
                </c:pt>
                <c:pt idx="9">
                  <c:v>26.529376995226698</c:v>
                </c:pt>
                <c:pt idx="10">
                  <c:v>21.948558510358453</c:v>
                </c:pt>
                <c:pt idx="11">
                  <c:v>17.431998394557127</c:v>
                </c:pt>
                <c:pt idx="12">
                  <c:v>12.978353969033492</c:v>
                </c:pt>
                <c:pt idx="13">
                  <c:v>8.5863197032958851</c:v>
                </c:pt>
                <c:pt idx="14">
                  <c:v>4.2546259392339607</c:v>
                </c:pt>
                <c:pt idx="15">
                  <c:v>-1.7962332566980876E-2</c:v>
                </c:pt>
                <c:pt idx="16">
                  <c:v>-4.2326466467627597</c:v>
                </c:pt>
                <c:pt idx="17">
                  <c:v>-8.3905961897762609</c:v>
                </c:pt>
                <c:pt idx="18">
                  <c:v>-12.492948881136613</c:v>
                </c:pt>
                <c:pt idx="19">
                  <c:v>-16.540812411728439</c:v>
                </c:pt>
                <c:pt idx="20">
                  <c:v>-20.535265240943545</c:v>
                </c:pt>
                <c:pt idx="21">
                  <c:v>-24.477357554619061</c:v>
                </c:pt>
                <c:pt idx="22">
                  <c:v>-28.368112185551126</c:v>
                </c:pt>
                <c:pt idx="23">
                  <c:v>-32.208525498276003</c:v>
                </c:pt>
                <c:pt idx="24">
                  <c:v>-35.999568239730024</c:v>
                </c:pt>
                <c:pt idx="25">
                  <c:v>-39.742186357311198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3B-F078-4F9D-8E12-A7749FC4F1B8}"/>
            </c:ext>
          </c:extLst>
        </c:ser>
        <c:ser>
          <c:idx val="19"/>
          <c:order val="19"/>
          <c:tx>
            <c:strRef>
              <c:f>'Diagramme psychro -10 à +40°C'!$AO$73</c:f>
              <c:strCache>
                <c:ptCount val="1"/>
                <c:pt idx="0">
                  <c:v>0,84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5.8943012714495783E-3"/>
                  <c:y val="3.996926898698615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C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D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E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3F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0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1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2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+40°C'!$AO$74:$AO$99</c:f>
              <c:numCache>
                <c:formatCode>#\ ##0.00\ "gr/kg";\-#\ ##0.00\ "gr/kg"</c:formatCode>
                <c:ptCount val="26"/>
                <c:pt idx="0">
                  <c:v>79.23819090515849</c:v>
                </c:pt>
                <c:pt idx="1">
                  <c:v>73.948821183075438</c:v>
                </c:pt>
                <c:pt idx="2">
                  <c:v>68.73864846225888</c:v>
                </c:pt>
                <c:pt idx="3">
                  <c:v>63.60590725131874</c:v>
                </c:pt>
                <c:pt idx="4">
                  <c:v>58.548884147860804</c:v>
                </c:pt>
                <c:pt idx="5">
                  <c:v>53.565915931511768</c:v>
                </c:pt>
                <c:pt idx="6">
                  <c:v>48.655387740114293</c:v>
                </c:pt>
                <c:pt idx="7">
                  <c:v>43.815731324886997</c:v>
                </c:pt>
                <c:pt idx="8">
                  <c:v>39.045423380592638</c:v>
                </c:pt>
                <c:pt idx="9">
                  <c:v>34.342983946976574</c:v>
                </c:pt>
                <c:pt idx="10">
                  <c:v>29.706974877953257</c:v>
                </c:pt>
                <c:pt idx="11">
                  <c:v>25.135998375214626</c:v>
                </c:pt>
                <c:pt idx="12">
                  <c:v>20.628695583118315</c:v>
                </c:pt>
                <c:pt idx="13">
                  <c:v>16.183745241889937</c:v>
                </c:pt>
                <c:pt idx="14">
                  <c:v>11.79986239633331</c:v>
                </c:pt>
                <c:pt idx="15">
                  <c:v>7.4757971574020985</c:v>
                </c:pt>
                <c:pt idx="16">
                  <c:v>3.2103335141197249</c:v>
                </c:pt>
                <c:pt idx="17">
                  <c:v>-0.99771180652044222</c:v>
                </c:pt>
                <c:pt idx="18">
                  <c:v>-5.1494904339213008</c:v>
                </c:pt>
                <c:pt idx="19">
                  <c:v>-9.2461234046407981</c:v>
                </c:pt>
                <c:pt idx="20">
                  <c:v>-13.288702171557247</c:v>
                </c:pt>
                <c:pt idx="21">
                  <c:v>-17.278289573349298</c:v>
                </c:pt>
                <c:pt idx="22">
                  <c:v>-21.215920766099771</c:v>
                </c:pt>
                <c:pt idx="23">
                  <c:v>-25.102604118737077</c:v>
                </c:pt>
                <c:pt idx="24">
                  <c:v>-28.939322073943572</c:v>
                </c:pt>
                <c:pt idx="25">
                  <c:v>-32.727031976073931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43-F078-4F9D-8E12-A7749FC4F1B8}"/>
            </c:ext>
          </c:extLst>
        </c:ser>
        <c:ser>
          <c:idx val="20"/>
          <c:order val="20"/>
          <c:tx>
            <c:strRef>
              <c:f>'Diagramme psychro -10 à +40°C'!$AP$73</c:f>
              <c:strCache>
                <c:ptCount val="1"/>
                <c:pt idx="0">
                  <c:v>0,85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12"/>
              <c:layout>
                <c:manualLayout>
                  <c:x val="-1.4012703271117307E-2"/>
                  <c:y val="1.8218086629755933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4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5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6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7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8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9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A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+40°C'!$AP$74:$AP$99</c:f>
              <c:numCache>
                <c:formatCode>#\ ##0.00\ "gr/kg";\-#\ ##0.00\ "gr/kg"</c:formatCode>
                <c:ptCount val="26"/>
                <c:pt idx="0">
                  <c:v>87.586264606410396</c:v>
                </c:pt>
                <c:pt idx="1">
                  <c:v>82.23392619715969</c:v>
                </c:pt>
                <c:pt idx="2">
                  <c:v>76.96172761061905</c:v>
                </c:pt>
                <c:pt idx="3">
                  <c:v>71.767882337643982</c:v>
                </c:pt>
                <c:pt idx="4">
                  <c:v>66.650656578192411</c:v>
                </c:pt>
                <c:pt idx="5">
                  <c:v>61.608367311648863</c:v>
                </c:pt>
                <c:pt idx="6">
                  <c:v>56.639380451306124</c:v>
                </c:pt>
                <c:pt idx="7">
                  <c:v>51.742109078754766</c:v>
                </c:pt>
                <c:pt idx="8">
                  <c:v>46.915011754171132</c:v>
                </c:pt>
                <c:pt idx="9">
                  <c:v>42.156590898726336</c:v>
                </c:pt>
                <c:pt idx="10">
                  <c:v>37.465391245547835</c:v>
                </c:pt>
                <c:pt idx="11">
                  <c:v>32.839998355871899</c:v>
                </c:pt>
                <c:pt idx="12">
                  <c:v>28.279037197203024</c:v>
                </c:pt>
                <c:pt idx="13">
                  <c:v>23.781170780483762</c:v>
                </c:pt>
                <c:pt idx="14">
                  <c:v>19.345098853432546</c:v>
                </c:pt>
                <c:pt idx="15">
                  <c:v>14.969556647371178</c:v>
                </c:pt>
                <c:pt idx="16">
                  <c:v>10.653313675002096</c:v>
                </c:pt>
                <c:pt idx="17">
                  <c:v>6.3951725767352627</c:v>
                </c:pt>
                <c:pt idx="18">
                  <c:v>2.1939680132938975</c:v>
                </c:pt>
                <c:pt idx="19">
                  <c:v>-1.9514343975531574</c:v>
                </c:pt>
                <c:pt idx="20">
                  <c:v>-6.0421391021709496</c:v>
                </c:pt>
                <c:pt idx="21">
                  <c:v>-10.079221592079648</c:v>
                </c:pt>
                <c:pt idx="22">
                  <c:v>-14.063729346648643</c:v>
                </c:pt>
                <c:pt idx="23">
                  <c:v>-17.996682739198263</c:v>
                </c:pt>
                <c:pt idx="24">
                  <c:v>-21.87907590815712</c:v>
                </c:pt>
                <c:pt idx="25">
                  <c:v>-25.711877594836665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4B-F078-4F9D-8E12-A7749FC4F1B8}"/>
            </c:ext>
          </c:extLst>
        </c:ser>
        <c:ser>
          <c:idx val="21"/>
          <c:order val="21"/>
          <c:tx>
            <c:strRef>
              <c:f>'Diagramme psychro -10 à +40°C'!$AQ$73</c:f>
              <c:strCache>
                <c:ptCount val="1"/>
                <c:pt idx="0">
                  <c:v>0,86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2549334996050477E-2"/>
                  <c:y val="2.405762222746524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C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D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E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4F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0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1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2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+40°C'!$AQ$74:$AQ$99</c:f>
              <c:numCache>
                <c:formatCode>#\ ##0.00\ "gr/kg";\-#\ ##0.00\ "gr/kg"</c:formatCode>
                <c:ptCount val="26"/>
                <c:pt idx="0">
                  <c:v>95.934338307662301</c:v>
                </c:pt>
                <c:pt idx="1">
                  <c:v>90.519031211243828</c:v>
                </c:pt>
                <c:pt idx="2">
                  <c:v>85.184806758979335</c:v>
                </c:pt>
                <c:pt idx="3">
                  <c:v>79.929857423969224</c:v>
                </c:pt>
                <c:pt idx="4">
                  <c:v>74.752429008524132</c:v>
                </c:pt>
                <c:pt idx="5">
                  <c:v>69.650818691785844</c:v>
                </c:pt>
                <c:pt idx="6">
                  <c:v>64.623373162497955</c:v>
                </c:pt>
                <c:pt idx="7">
                  <c:v>59.66848683262242</c:v>
                </c:pt>
                <c:pt idx="8">
                  <c:v>54.784600127749627</c:v>
                </c:pt>
                <c:pt idx="9">
                  <c:v>49.970197850475984</c:v>
                </c:pt>
                <c:pt idx="10">
                  <c:v>45.223807613142526</c:v>
                </c:pt>
                <c:pt idx="11">
                  <c:v>40.543998336529171</c:v>
                </c:pt>
                <c:pt idx="12">
                  <c:v>35.929378811287847</c:v>
                </c:pt>
                <c:pt idx="13">
                  <c:v>31.378596319077701</c:v>
                </c:pt>
                <c:pt idx="14">
                  <c:v>26.890335310531782</c:v>
                </c:pt>
                <c:pt idx="15">
                  <c:v>22.463316137340257</c:v>
                </c:pt>
                <c:pt idx="16">
                  <c:v>18.096293835884467</c:v>
                </c:pt>
                <c:pt idx="17">
                  <c:v>13.788056959990968</c:v>
                </c:pt>
                <c:pt idx="18">
                  <c:v>9.5374264605092094</c:v>
                </c:pt>
                <c:pt idx="19">
                  <c:v>5.3432546095344833</c:v>
                </c:pt>
                <c:pt idx="20">
                  <c:v>1.2044239672152344</c:v>
                </c:pt>
                <c:pt idx="21">
                  <c:v>-2.8801536108099981</c:v>
                </c:pt>
                <c:pt idx="22">
                  <c:v>-6.9115379271974007</c:v>
                </c:pt>
                <c:pt idx="23">
                  <c:v>-10.890761359659336</c:v>
                </c:pt>
                <c:pt idx="24">
                  <c:v>-14.818829742370781</c:v>
                </c:pt>
                <c:pt idx="25">
                  <c:v>-18.696723213599512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53-F078-4F9D-8E12-A7749FC4F1B8}"/>
            </c:ext>
          </c:extLst>
        </c:ser>
        <c:ser>
          <c:idx val="22"/>
          <c:order val="22"/>
          <c:tx>
            <c:strRef>
              <c:f>'Diagramme psychro -10 à +40°C'!$AR$73</c:f>
              <c:strCache>
                <c:ptCount val="1"/>
                <c:pt idx="0">
                  <c:v>0,87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15"/>
              <c:layout>
                <c:manualLayout>
                  <c:x val="-4.8489503630543334E-3"/>
                  <c:y val="4.0193487794544513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4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5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6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7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8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9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A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B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+40°C'!$AR$74:$AR$99</c:f>
              <c:numCache>
                <c:formatCode>#\ ##0.00\ "gr/kg";\-#\ ##0.00\ "gr/kg"</c:formatCode>
                <c:ptCount val="26"/>
                <c:pt idx="0">
                  <c:v>104.28241200891409</c:v>
                </c:pt>
                <c:pt idx="1">
                  <c:v>98.804136225328079</c:v>
                </c:pt>
                <c:pt idx="2">
                  <c:v>93.407885907339505</c:v>
                </c:pt>
                <c:pt idx="3">
                  <c:v>88.091832510294466</c:v>
                </c:pt>
                <c:pt idx="4">
                  <c:v>82.854201438855853</c:v>
                </c:pt>
                <c:pt idx="5">
                  <c:v>77.693270071922939</c:v>
                </c:pt>
                <c:pt idx="6">
                  <c:v>72.607365873689787</c:v>
                </c:pt>
                <c:pt idx="7">
                  <c:v>67.594864586490189</c:v>
                </c:pt>
                <c:pt idx="8">
                  <c:v>62.654188501328122</c:v>
                </c:pt>
                <c:pt idx="9">
                  <c:v>57.783804802225745</c:v>
                </c:pt>
                <c:pt idx="10">
                  <c:v>52.982223980737217</c:v>
                </c:pt>
                <c:pt idx="11">
                  <c:v>48.247998317186557</c:v>
                </c:pt>
                <c:pt idx="12">
                  <c:v>43.579720425372557</c:v>
                </c:pt>
                <c:pt idx="13">
                  <c:v>38.97602185767164</c:v>
                </c:pt>
                <c:pt idx="14">
                  <c:v>34.435571767630904</c:v>
                </c:pt>
                <c:pt idx="15">
                  <c:v>29.957075627309337</c:v>
                </c:pt>
                <c:pt idx="16">
                  <c:v>25.539273996766838</c:v>
                </c:pt>
                <c:pt idx="17">
                  <c:v>21.180941343246673</c:v>
                </c:pt>
                <c:pt idx="18">
                  <c:v>16.880884907724408</c:v>
                </c:pt>
                <c:pt idx="19">
                  <c:v>12.637943616622124</c:v>
                </c:pt>
                <c:pt idx="20">
                  <c:v>8.4509870366014184</c:v>
                </c:pt>
                <c:pt idx="21">
                  <c:v>4.3189143704596518</c:v>
                </c:pt>
                <c:pt idx="22">
                  <c:v>0.24065349225372756</c:v>
                </c:pt>
                <c:pt idx="23">
                  <c:v>-3.7848399801205233</c:v>
                </c:pt>
                <c:pt idx="24">
                  <c:v>-7.7585835765844422</c:v>
                </c:pt>
                <c:pt idx="25">
                  <c:v>-11.681568832362245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5C-F078-4F9D-8E12-A7749FC4F1B8}"/>
            </c:ext>
          </c:extLst>
        </c:ser>
        <c:ser>
          <c:idx val="23"/>
          <c:order val="23"/>
          <c:tx>
            <c:strRef>
              <c:f>'Diagramme psychro -10 à +40°C'!$AS$73</c:f>
              <c:strCache>
                <c:ptCount val="1"/>
                <c:pt idx="0">
                  <c:v>0,88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17"/>
              <c:layout>
                <c:manualLayout>
                  <c:x val="-1.0354225425960853E-2"/>
                  <c:y val="2.6936191722241192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D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E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5F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0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1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2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3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+40°C'!$AS$74:$AS$99</c:f>
              <c:numCache>
                <c:formatCode>#\ ##0.00\ "gr/kg";\-#\ ##0.00\ "gr/kg"</c:formatCode>
                <c:ptCount val="26"/>
                <c:pt idx="0">
                  <c:v>112.630485710166</c:v>
                </c:pt>
                <c:pt idx="1">
                  <c:v>107.08924123941233</c:v>
                </c:pt>
                <c:pt idx="2">
                  <c:v>101.63096505569979</c:v>
                </c:pt>
                <c:pt idx="3">
                  <c:v>96.253807596619595</c:v>
                </c:pt>
                <c:pt idx="4">
                  <c:v>90.95597386918746</c:v>
                </c:pt>
                <c:pt idx="5">
                  <c:v>85.73572145205992</c:v>
                </c:pt>
                <c:pt idx="6">
                  <c:v>80.591358584881618</c:v>
                </c:pt>
                <c:pt idx="7">
                  <c:v>75.521242340357844</c:v>
                </c:pt>
                <c:pt idx="8">
                  <c:v>70.523776874906503</c:v>
                </c:pt>
                <c:pt idx="9">
                  <c:v>65.597411753975393</c:v>
                </c:pt>
                <c:pt idx="10">
                  <c:v>60.740640348331908</c:v>
                </c:pt>
                <c:pt idx="11">
                  <c:v>55.951998297843829</c:v>
                </c:pt>
                <c:pt idx="12">
                  <c:v>51.230062039457266</c:v>
                </c:pt>
                <c:pt idx="13">
                  <c:v>46.573447396265578</c:v>
                </c:pt>
                <c:pt idx="14">
                  <c:v>41.98080822473014</c:v>
                </c:pt>
                <c:pt idx="15">
                  <c:v>37.450835117278416</c:v>
                </c:pt>
                <c:pt idx="16">
                  <c:v>32.982254157649209</c:v>
                </c:pt>
                <c:pt idx="17">
                  <c:v>28.573825726502378</c:v>
                </c:pt>
                <c:pt idx="18">
                  <c:v>24.224343354939606</c:v>
                </c:pt>
                <c:pt idx="19">
                  <c:v>19.932632623709651</c:v>
                </c:pt>
                <c:pt idx="20">
                  <c:v>15.697550105987716</c:v>
                </c:pt>
                <c:pt idx="21">
                  <c:v>11.517982351729302</c:v>
                </c:pt>
                <c:pt idx="22">
                  <c:v>7.3928449117049695</c:v>
                </c:pt>
                <c:pt idx="23">
                  <c:v>3.3210813994182899</c:v>
                </c:pt>
                <c:pt idx="24">
                  <c:v>-0.69833741079798983</c:v>
                </c:pt>
                <c:pt idx="25">
                  <c:v>-4.6664144511250925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64-F078-4F9D-8E12-A7749FC4F1B8}"/>
            </c:ext>
          </c:extLst>
        </c:ser>
        <c:ser>
          <c:idx val="24"/>
          <c:order val="24"/>
          <c:tx>
            <c:strRef>
              <c:f>'Diagramme psychro -10 à +40°C'!$AT$73</c:f>
              <c:strCache>
                <c:ptCount val="1"/>
                <c:pt idx="0">
                  <c:v>0,89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19"/>
              <c:layout>
                <c:manualLayout>
                  <c:x val="-1.0632903670408679E-2"/>
                  <c:y val="3.2332715799348606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5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6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7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8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9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A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B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+40°C'!$AT$74:$AT$99</c:f>
              <c:numCache>
                <c:formatCode>#\ ##0.00\ "gr/kg";\-#\ ##0.00\ "gr/kg"</c:formatCode>
                <c:ptCount val="26"/>
                <c:pt idx="0">
                  <c:v>120.9785594114179</c:v>
                </c:pt>
                <c:pt idx="1">
                  <c:v>115.37434625349658</c:v>
                </c:pt>
                <c:pt idx="2">
                  <c:v>109.85404420405996</c:v>
                </c:pt>
                <c:pt idx="3">
                  <c:v>104.41578268294484</c:v>
                </c:pt>
                <c:pt idx="4">
                  <c:v>99.057746299519181</c:v>
                </c:pt>
                <c:pt idx="5">
                  <c:v>93.778172832197015</c:v>
                </c:pt>
                <c:pt idx="6">
                  <c:v>88.57535129607345</c:v>
                </c:pt>
                <c:pt idx="7">
                  <c:v>83.447620094225499</c:v>
                </c:pt>
                <c:pt idx="8">
                  <c:v>78.393365248484997</c:v>
                </c:pt>
                <c:pt idx="9">
                  <c:v>73.411018705725155</c:v>
                </c:pt>
                <c:pt idx="10">
                  <c:v>68.499056715926599</c:v>
                </c:pt>
                <c:pt idx="11">
                  <c:v>63.655998278501215</c:v>
                </c:pt>
                <c:pt idx="12">
                  <c:v>58.880403653542089</c:v>
                </c:pt>
                <c:pt idx="13">
                  <c:v>54.170872934859517</c:v>
                </c:pt>
                <c:pt idx="14">
                  <c:v>49.526044681829376</c:v>
                </c:pt>
                <c:pt idx="15">
                  <c:v>44.944594607247495</c:v>
                </c:pt>
                <c:pt idx="16">
                  <c:v>40.425234318531579</c:v>
                </c:pt>
                <c:pt idx="17">
                  <c:v>35.966710109758083</c:v>
                </c:pt>
                <c:pt idx="18">
                  <c:v>31.567801802154804</c:v>
                </c:pt>
                <c:pt idx="19">
                  <c:v>27.227321630797292</c:v>
                </c:pt>
                <c:pt idx="20">
                  <c:v>22.9441131753739</c:v>
                </c:pt>
                <c:pt idx="21">
                  <c:v>18.717050332998951</c:v>
                </c:pt>
                <c:pt idx="22">
                  <c:v>14.545036331156211</c:v>
                </c:pt>
                <c:pt idx="23">
                  <c:v>10.427002778957103</c:v>
                </c:pt>
                <c:pt idx="24">
                  <c:v>6.3619087549883488</c:v>
                </c:pt>
                <c:pt idx="25">
                  <c:v>2.3487399301121741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6C-F078-4F9D-8E12-A7749FC4F1B8}"/>
            </c:ext>
          </c:extLst>
        </c:ser>
        <c:ser>
          <c:idx val="25"/>
          <c:order val="25"/>
          <c:tx>
            <c:strRef>
              <c:f>'Diagramme psychro -10 à +40°C'!$AU$73</c:f>
              <c:strCache>
                <c:ptCount val="1"/>
                <c:pt idx="0">
                  <c:v>0,90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D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E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6F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0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1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+40°C'!$AU$74:$AU$99</c:f>
              <c:numCache>
                <c:formatCode>#\ ##0.00\ "gr/kg";\-#\ ##0.00\ "gr/kg"</c:formatCode>
                <c:ptCount val="26"/>
                <c:pt idx="0">
                  <c:v>129.32663311266981</c:v>
                </c:pt>
                <c:pt idx="1">
                  <c:v>123.65945126758083</c:v>
                </c:pt>
                <c:pt idx="2">
                  <c:v>118.07712335242024</c:v>
                </c:pt>
                <c:pt idx="3">
                  <c:v>112.57775776927008</c:v>
                </c:pt>
                <c:pt idx="4">
                  <c:v>107.15951872985079</c:v>
                </c:pt>
                <c:pt idx="5">
                  <c:v>101.820624212334</c:v>
                </c:pt>
                <c:pt idx="6">
                  <c:v>96.559344007265281</c:v>
                </c:pt>
                <c:pt idx="7">
                  <c:v>91.373997848093268</c:v>
                </c:pt>
                <c:pt idx="8">
                  <c:v>86.262953622063492</c:v>
                </c:pt>
                <c:pt idx="9">
                  <c:v>81.224625657474917</c:v>
                </c:pt>
                <c:pt idx="10">
                  <c:v>76.25747308352129</c:v>
                </c:pt>
                <c:pt idx="11">
                  <c:v>71.359998259158488</c:v>
                </c:pt>
                <c:pt idx="12">
                  <c:v>66.530745267626799</c:v>
                </c:pt>
                <c:pt idx="13">
                  <c:v>61.768298473453456</c:v>
                </c:pt>
                <c:pt idx="14">
                  <c:v>57.071281138928612</c:v>
                </c:pt>
                <c:pt idx="15">
                  <c:v>52.438354097216575</c:v>
                </c:pt>
                <c:pt idx="16">
                  <c:v>47.86821447941395</c:v>
                </c:pt>
                <c:pt idx="17">
                  <c:v>43.359594493013788</c:v>
                </c:pt>
                <c:pt idx="18">
                  <c:v>38.911260249370002</c:v>
                </c:pt>
                <c:pt idx="19">
                  <c:v>34.522010637884932</c:v>
                </c:pt>
                <c:pt idx="20">
                  <c:v>30.190676244760084</c:v>
                </c:pt>
                <c:pt idx="21">
                  <c:v>25.916118314268601</c:v>
                </c:pt>
                <c:pt idx="22">
                  <c:v>21.69722775060734</c:v>
                </c:pt>
                <c:pt idx="23">
                  <c:v>17.53292415849603</c:v>
                </c:pt>
                <c:pt idx="24">
                  <c:v>13.422154920774801</c:v>
                </c:pt>
                <c:pt idx="25">
                  <c:v>9.3638943113493269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72-F078-4F9D-8E12-A7749FC4F1B8}"/>
            </c:ext>
          </c:extLst>
        </c:ser>
        <c:ser>
          <c:idx val="26"/>
          <c:order val="26"/>
          <c:tx>
            <c:strRef>
              <c:f>'Diagramme psychro -10 à +40°C'!$AV$73</c:f>
              <c:strCache>
                <c:ptCount val="1"/>
                <c:pt idx="0">
                  <c:v>0,91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22"/>
              <c:layout>
                <c:manualLayout>
                  <c:x val="2.0151709066410792E-3"/>
                  <c:y val="6.3289666321950266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3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4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5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6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36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+40°C'!$AV$74:$AV$99</c:f>
              <c:numCache>
                <c:formatCode>#\ ##0.00\ "gr/kg";\-#\ ##0.00\ "gr/kg"</c:formatCode>
                <c:ptCount val="26"/>
                <c:pt idx="0">
                  <c:v>137.67470681392172</c:v>
                </c:pt>
                <c:pt idx="1">
                  <c:v>131.94455628166497</c:v>
                </c:pt>
                <c:pt idx="2">
                  <c:v>126.30020250078041</c:v>
                </c:pt>
                <c:pt idx="3">
                  <c:v>120.73973285559532</c:v>
                </c:pt>
                <c:pt idx="4">
                  <c:v>115.26129116018251</c:v>
                </c:pt>
                <c:pt idx="5">
                  <c:v>109.86307559247109</c:v>
                </c:pt>
                <c:pt idx="6">
                  <c:v>104.54333671845711</c:v>
                </c:pt>
                <c:pt idx="7">
                  <c:v>99.300375601960923</c:v>
                </c:pt>
                <c:pt idx="8">
                  <c:v>94.132541995641986</c:v>
                </c:pt>
                <c:pt idx="9">
                  <c:v>89.038232609224565</c:v>
                </c:pt>
                <c:pt idx="10">
                  <c:v>84.015889451115982</c:v>
                </c:pt>
                <c:pt idx="11">
                  <c:v>79.06399823981576</c:v>
                </c:pt>
                <c:pt idx="12">
                  <c:v>74.181086881711508</c:v>
                </c:pt>
                <c:pt idx="13">
                  <c:v>69.365724012047394</c:v>
                </c:pt>
                <c:pt idx="14">
                  <c:v>64.616517596027734</c:v>
                </c:pt>
                <c:pt idx="15">
                  <c:v>59.932113587185654</c:v>
                </c:pt>
                <c:pt idx="16">
                  <c:v>55.311194640296321</c:v>
                </c:pt>
                <c:pt idx="17">
                  <c:v>50.752478876269493</c:v>
                </c:pt>
                <c:pt idx="18">
                  <c:v>46.254718696585314</c:v>
                </c:pt>
                <c:pt idx="19">
                  <c:v>41.816699644972459</c:v>
                </c:pt>
                <c:pt idx="20">
                  <c:v>37.437239314146382</c:v>
                </c:pt>
                <c:pt idx="21">
                  <c:v>33.115186295538251</c:v>
                </c:pt>
                <c:pt idx="22">
                  <c:v>28.849419170058582</c:v>
                </c:pt>
                <c:pt idx="23">
                  <c:v>24.638845538034843</c:v>
                </c:pt>
                <c:pt idx="24">
                  <c:v>20.48240108656114</c:v>
                </c:pt>
                <c:pt idx="25">
                  <c:v>16.379048692586593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77-F078-4F9D-8E12-A7749FC4F1B8}"/>
            </c:ext>
          </c:extLst>
        </c:ser>
        <c:ser>
          <c:idx val="27"/>
          <c:order val="27"/>
          <c:tx>
            <c:strRef>
              <c:f>'Diagramme psychro -10 à +40°C'!$AW$73</c:f>
              <c:strCache>
                <c:ptCount val="1"/>
                <c:pt idx="0">
                  <c:v>0,92 m3/kg</c:v>
                </c:pt>
              </c:strCache>
            </c:strRef>
          </c:tx>
          <c:spPr>
            <a:ln w="3175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8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9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A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B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C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D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E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7F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+40°C'!$AW$74:$AW$99</c:f>
              <c:numCache>
                <c:formatCode>#\ ##0.00\ "gr/kg";\-#\ ##0.00\ "gr/kg"</c:formatCode>
                <c:ptCount val="26"/>
                <c:pt idx="0">
                  <c:v>146.02278051517362</c:v>
                </c:pt>
                <c:pt idx="1">
                  <c:v>140.22966129574922</c:v>
                </c:pt>
                <c:pt idx="2">
                  <c:v>134.5232816491407</c:v>
                </c:pt>
                <c:pt idx="3">
                  <c:v>128.90170794192056</c:v>
                </c:pt>
                <c:pt idx="4">
                  <c:v>123.36306359051423</c:v>
                </c:pt>
                <c:pt idx="5">
                  <c:v>117.90552697260807</c:v>
                </c:pt>
                <c:pt idx="6">
                  <c:v>112.52732942964894</c:v>
                </c:pt>
                <c:pt idx="7">
                  <c:v>107.22675335582869</c:v>
                </c:pt>
                <c:pt idx="8">
                  <c:v>102.00213036922048</c:v>
                </c:pt>
                <c:pt idx="9">
                  <c:v>96.851839560974327</c:v>
                </c:pt>
                <c:pt idx="10">
                  <c:v>91.774305818710673</c:v>
                </c:pt>
                <c:pt idx="11">
                  <c:v>86.767998220473146</c:v>
                </c:pt>
                <c:pt idx="12">
                  <c:v>81.831428495796217</c:v>
                </c:pt>
                <c:pt idx="13">
                  <c:v>76.963149550641333</c:v>
                </c:pt>
                <c:pt idx="14">
                  <c:v>72.16175405312697</c:v>
                </c:pt>
                <c:pt idx="15">
                  <c:v>67.425873077154733</c:v>
                </c:pt>
                <c:pt idx="16">
                  <c:v>62.754174801178692</c:v>
                </c:pt>
                <c:pt idx="17">
                  <c:v>58.145363259525197</c:v>
                </c:pt>
                <c:pt idx="18">
                  <c:v>53.598177143800513</c:v>
                </c:pt>
                <c:pt idx="19">
                  <c:v>49.1113886520601</c:v>
                </c:pt>
                <c:pt idx="20">
                  <c:v>44.683802383532566</c:v>
                </c:pt>
                <c:pt idx="21">
                  <c:v>40.314254276807901</c:v>
                </c:pt>
                <c:pt idx="22">
                  <c:v>36.00161058950971</c:v>
                </c:pt>
                <c:pt idx="23">
                  <c:v>31.744766917573656</c:v>
                </c:pt>
                <c:pt idx="24">
                  <c:v>27.542647252347479</c:v>
                </c:pt>
                <c:pt idx="25">
                  <c:v>23.394203073823746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80-F078-4F9D-8E12-A7749FC4F1B8}"/>
            </c:ext>
          </c:extLst>
        </c:ser>
        <c:ser>
          <c:idx val="29"/>
          <c:order val="28"/>
          <c:tx>
            <c:strRef>
              <c:f>'Diagramme psychro -10 à +40°C'!$AX$73</c:f>
              <c:strCache>
                <c:ptCount val="1"/>
                <c:pt idx="0">
                  <c:v>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1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2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3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4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5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6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7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8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+40°C'!$AX$74:$AX$99</c:f>
              <c:numCache>
                <c:formatCode>#\ ##0.00\ "gr/kg";\-#\ ##0.00\ "gr/kg"</c:formatCode>
                <c:ptCount val="26"/>
                <c:pt idx="0">
                  <c:v>4.032258064516129</c:v>
                </c:pt>
                <c:pt idx="1">
                  <c:v>3.2206119162640903</c:v>
                </c:pt>
                <c:pt idx="2">
                  <c:v>2.4115755627009645</c:v>
                </c:pt>
                <c:pt idx="3">
                  <c:v>1.6051364365971108</c:v>
                </c:pt>
                <c:pt idx="4">
                  <c:v>0.80128205128205132</c:v>
                </c:pt>
                <c:pt idx="5">
                  <c:v>0</c:v>
                </c:pt>
                <c:pt idx="6">
                  <c:v>-0.79872204472843455</c:v>
                </c:pt>
                <c:pt idx="7">
                  <c:v>-1.594896331738437</c:v>
                </c:pt>
                <c:pt idx="8">
                  <c:v>-2.3885350318471339</c:v>
                </c:pt>
                <c:pt idx="9">
                  <c:v>-3.1796502384737679</c:v>
                </c:pt>
                <c:pt idx="10">
                  <c:v>-3.9682539682539684</c:v>
                </c:pt>
                <c:pt idx="11">
                  <c:v>-4.7543581616481774</c:v>
                </c:pt>
                <c:pt idx="12">
                  <c:v>-5.537974683544304</c:v>
                </c:pt>
                <c:pt idx="13">
                  <c:v>-6.3191153238546605</c:v>
                </c:pt>
                <c:pt idx="14">
                  <c:v>-7.0977917981072558</c:v>
                </c:pt>
                <c:pt idx="15">
                  <c:v>-7.8740157480314963</c:v>
                </c:pt>
                <c:pt idx="16">
                  <c:v>-8.6477987421383649</c:v>
                </c:pt>
                <c:pt idx="17">
                  <c:v>-9.419152276295133</c:v>
                </c:pt>
                <c:pt idx="18">
                  <c:v>-10.18808777429467</c:v>
                </c:pt>
                <c:pt idx="19">
                  <c:v>-10.954616588419405</c:v>
                </c:pt>
                <c:pt idx="20">
                  <c:v>-11.71875</c:v>
                </c:pt>
                <c:pt idx="21">
                  <c:v>-12.480499219968799</c:v>
                </c:pt>
                <c:pt idx="22">
                  <c:v>-13.2398753894081</c:v>
                </c:pt>
                <c:pt idx="23">
                  <c:v>-13.996889580093312</c:v>
                </c:pt>
                <c:pt idx="24">
                  <c:v>-14.751552795031056</c:v>
                </c:pt>
                <c:pt idx="25">
                  <c:v>-15.503875968992247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89-F078-4F9D-8E12-A7749FC4F1B8}"/>
            </c:ext>
          </c:extLst>
        </c:ser>
        <c:ser>
          <c:idx val="30"/>
          <c:order val="29"/>
          <c:tx>
            <c:strRef>
              <c:f>'Diagramme psychro -10 à +40°C'!$AY$73</c:f>
              <c:strCache>
                <c:ptCount val="1"/>
                <c:pt idx="0">
                  <c:v>10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A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B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C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D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E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8F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0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1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2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3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+40°C'!$AY$74:$AY$99</c:f>
              <c:numCache>
                <c:formatCode>#\ ##0.00\ "gr/kg";\-#\ ##0.00\ "gr/kg"</c:formatCode>
                <c:ptCount val="26"/>
                <c:pt idx="0">
                  <c:v>8.064516129032258</c:v>
                </c:pt>
                <c:pt idx="1">
                  <c:v>7.2463768115942031</c:v>
                </c:pt>
                <c:pt idx="2">
                  <c:v>6.430868167202572</c:v>
                </c:pt>
                <c:pt idx="3">
                  <c:v>5.617977528089888</c:v>
                </c:pt>
                <c:pt idx="4">
                  <c:v>4.8076923076923075</c:v>
                </c:pt>
                <c:pt idx="5">
                  <c:v>4</c:v>
                </c:pt>
                <c:pt idx="6">
                  <c:v>3.1948881789137382</c:v>
                </c:pt>
                <c:pt idx="7">
                  <c:v>2.3923444976076556</c:v>
                </c:pt>
                <c:pt idx="8">
                  <c:v>1.5923566878980893</c:v>
                </c:pt>
                <c:pt idx="9">
                  <c:v>0.79491255961844198</c:v>
                </c:pt>
                <c:pt idx="10">
                  <c:v>0</c:v>
                </c:pt>
                <c:pt idx="11">
                  <c:v>-0.79239302694136293</c:v>
                </c:pt>
                <c:pt idx="12">
                  <c:v>-1.5822784810126582</c:v>
                </c:pt>
                <c:pt idx="13">
                  <c:v>-2.3696682464454977</c:v>
                </c:pt>
                <c:pt idx="14">
                  <c:v>-3.1545741324921135</c:v>
                </c:pt>
                <c:pt idx="15">
                  <c:v>-3.9370078740157481</c:v>
                </c:pt>
                <c:pt idx="16">
                  <c:v>-4.716981132075472</c:v>
                </c:pt>
                <c:pt idx="17">
                  <c:v>-5.4945054945054945</c:v>
                </c:pt>
                <c:pt idx="18">
                  <c:v>-6.2695924764890281</c:v>
                </c:pt>
                <c:pt idx="19">
                  <c:v>-7.0422535211267601</c:v>
                </c:pt>
                <c:pt idx="20">
                  <c:v>-7.8125</c:v>
                </c:pt>
                <c:pt idx="21">
                  <c:v>-8.5803432137285487</c:v>
                </c:pt>
                <c:pt idx="22">
                  <c:v>-9.3457943925233646</c:v>
                </c:pt>
                <c:pt idx="23">
                  <c:v>-10.108864696734059</c:v>
                </c:pt>
                <c:pt idx="24">
                  <c:v>-10.869565217391305</c:v>
                </c:pt>
                <c:pt idx="25">
                  <c:v>-11.627906976744185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94-F078-4F9D-8E12-A7749FC4F1B8}"/>
            </c:ext>
          </c:extLst>
        </c:ser>
        <c:ser>
          <c:idx val="31"/>
          <c:order val="30"/>
          <c:tx>
            <c:strRef>
              <c:f>'Diagramme psychro -10 à +40°C'!$AZ$73</c:f>
              <c:strCache>
                <c:ptCount val="1"/>
                <c:pt idx="0">
                  <c:v>20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5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6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7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8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9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A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B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C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D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E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9F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0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1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2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3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+40°C'!$AZ$74:$AZ$99</c:f>
              <c:numCache>
                <c:formatCode>#\ ##0.00\ "gr/kg";\-#\ ##0.00\ "gr/kg"</c:formatCode>
                <c:ptCount val="26"/>
                <c:pt idx="0">
                  <c:v>12.096774193548388</c:v>
                </c:pt>
                <c:pt idx="1">
                  <c:v>11.272141706924316</c:v>
                </c:pt>
                <c:pt idx="2">
                  <c:v>10.45016077170418</c:v>
                </c:pt>
                <c:pt idx="3">
                  <c:v>9.6308186195826639</c:v>
                </c:pt>
                <c:pt idx="4">
                  <c:v>8.8141025641025639</c:v>
                </c:pt>
                <c:pt idx="5">
                  <c:v>8</c:v>
                </c:pt>
                <c:pt idx="6">
                  <c:v>7.1884984025559104</c:v>
                </c:pt>
                <c:pt idx="7">
                  <c:v>6.3795853269537481</c:v>
                </c:pt>
                <c:pt idx="8">
                  <c:v>5.5732484076433124</c:v>
                </c:pt>
                <c:pt idx="9">
                  <c:v>4.7694753577106521</c:v>
                </c:pt>
                <c:pt idx="10">
                  <c:v>3.9682539682539684</c:v>
                </c:pt>
                <c:pt idx="11">
                  <c:v>3.1695721077654517</c:v>
                </c:pt>
                <c:pt idx="12">
                  <c:v>2.3734177215189871</c:v>
                </c:pt>
                <c:pt idx="13">
                  <c:v>1.5797788309636651</c:v>
                </c:pt>
                <c:pt idx="14">
                  <c:v>0.78864353312302837</c:v>
                </c:pt>
                <c:pt idx="15">
                  <c:v>0</c:v>
                </c:pt>
                <c:pt idx="16">
                  <c:v>-0.78616352201257855</c:v>
                </c:pt>
                <c:pt idx="17">
                  <c:v>-1.5698587127158556</c:v>
                </c:pt>
                <c:pt idx="18">
                  <c:v>-2.3510971786833856</c:v>
                </c:pt>
                <c:pt idx="19">
                  <c:v>-3.1298904538341157</c:v>
                </c:pt>
                <c:pt idx="20">
                  <c:v>-3.90625</c:v>
                </c:pt>
                <c:pt idx="21">
                  <c:v>-4.6801872074882995</c:v>
                </c:pt>
                <c:pt idx="22">
                  <c:v>-5.4517133956386292</c:v>
                </c:pt>
                <c:pt idx="23">
                  <c:v>-6.2208398133748055</c:v>
                </c:pt>
                <c:pt idx="24">
                  <c:v>-6.987577639751553</c:v>
                </c:pt>
                <c:pt idx="25">
                  <c:v>-7.7519379844961236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A4-F078-4F9D-8E12-A7749FC4F1B8}"/>
            </c:ext>
          </c:extLst>
        </c:ser>
        <c:ser>
          <c:idx val="32"/>
          <c:order val="31"/>
          <c:tx>
            <c:strRef>
              <c:f>'Diagramme psychro -10 à +40°C'!$BA$73</c:f>
              <c:strCache>
                <c:ptCount val="1"/>
                <c:pt idx="0">
                  <c:v>30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5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6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7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8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9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A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B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C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D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E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AF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0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1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2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3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4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5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6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7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8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+40°C'!$BA$74:$BA$99</c:f>
              <c:numCache>
                <c:formatCode>#\ ##0.00\ "gr/kg";\-#\ ##0.00\ "gr/kg"</c:formatCode>
                <c:ptCount val="26"/>
                <c:pt idx="0">
                  <c:v>16.129032258064516</c:v>
                </c:pt>
                <c:pt idx="1">
                  <c:v>15.297906602254429</c:v>
                </c:pt>
                <c:pt idx="2">
                  <c:v>14.469453376205788</c:v>
                </c:pt>
                <c:pt idx="3">
                  <c:v>13.643659711075442</c:v>
                </c:pt>
                <c:pt idx="4">
                  <c:v>12.820512820512821</c:v>
                </c:pt>
                <c:pt idx="5">
                  <c:v>12</c:v>
                </c:pt>
                <c:pt idx="6">
                  <c:v>11.182108626198083</c:v>
                </c:pt>
                <c:pt idx="7">
                  <c:v>10.36682615629984</c:v>
                </c:pt>
                <c:pt idx="8">
                  <c:v>9.5541401273885356</c:v>
                </c:pt>
                <c:pt idx="9">
                  <c:v>8.7440381558028619</c:v>
                </c:pt>
                <c:pt idx="10">
                  <c:v>7.9365079365079367</c:v>
                </c:pt>
                <c:pt idx="11">
                  <c:v>7.1315372424722661</c:v>
                </c:pt>
                <c:pt idx="12">
                  <c:v>6.3291139240506329</c:v>
                </c:pt>
                <c:pt idx="13">
                  <c:v>5.5292259083728279</c:v>
                </c:pt>
                <c:pt idx="14">
                  <c:v>4.7318611987381702</c:v>
                </c:pt>
                <c:pt idx="15">
                  <c:v>3.9370078740157481</c:v>
                </c:pt>
                <c:pt idx="16">
                  <c:v>3.1446540880503142</c:v>
                </c:pt>
                <c:pt idx="17">
                  <c:v>2.3547880690737832</c:v>
                </c:pt>
                <c:pt idx="18">
                  <c:v>1.567398119122257</c:v>
                </c:pt>
                <c:pt idx="19">
                  <c:v>0.78247261345852892</c:v>
                </c:pt>
                <c:pt idx="20">
                  <c:v>0</c:v>
                </c:pt>
                <c:pt idx="21">
                  <c:v>-0.78003120124804992</c:v>
                </c:pt>
                <c:pt idx="22">
                  <c:v>-1.557632398753894</c:v>
                </c:pt>
                <c:pt idx="23">
                  <c:v>-2.3328149300155521</c:v>
                </c:pt>
                <c:pt idx="24">
                  <c:v>-3.1055900621118013</c:v>
                </c:pt>
                <c:pt idx="25">
                  <c:v>-3.8759689922480618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B9-F078-4F9D-8E12-A7749FC4F1B8}"/>
            </c:ext>
          </c:extLst>
        </c:ser>
        <c:ser>
          <c:idx val="33"/>
          <c:order val="32"/>
          <c:tx>
            <c:strRef>
              <c:f>'Diagramme psychro -10 à +40°C'!$BB$73</c:f>
              <c:strCache>
                <c:ptCount val="1"/>
                <c:pt idx="0">
                  <c:v>40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A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B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C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D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E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BF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0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1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2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3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4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5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6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7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8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9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A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B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C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D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E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CF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0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1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2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+40°C'!$BB$74:$BB$99</c:f>
              <c:numCache>
                <c:formatCode>#\ ##0.00\ "gr/kg";\-#\ ##0.00\ "gr/kg"</c:formatCode>
                <c:ptCount val="26"/>
                <c:pt idx="0">
                  <c:v>20.161290322580644</c:v>
                </c:pt>
                <c:pt idx="1">
                  <c:v>19.323671497584542</c:v>
                </c:pt>
                <c:pt idx="2">
                  <c:v>18.488745980707396</c:v>
                </c:pt>
                <c:pt idx="3">
                  <c:v>17.656500802568218</c:v>
                </c:pt>
                <c:pt idx="4">
                  <c:v>16.826923076923077</c:v>
                </c:pt>
                <c:pt idx="5">
                  <c:v>16</c:v>
                </c:pt>
                <c:pt idx="6">
                  <c:v>15.175718849840255</c:v>
                </c:pt>
                <c:pt idx="7">
                  <c:v>14.354066985645932</c:v>
                </c:pt>
                <c:pt idx="8">
                  <c:v>13.535031847133759</c:v>
                </c:pt>
                <c:pt idx="9">
                  <c:v>12.718600953895072</c:v>
                </c:pt>
                <c:pt idx="10">
                  <c:v>11.904761904761905</c:v>
                </c:pt>
                <c:pt idx="11">
                  <c:v>11.09350237717908</c:v>
                </c:pt>
                <c:pt idx="12">
                  <c:v>10.284810126582279</c:v>
                </c:pt>
                <c:pt idx="13">
                  <c:v>9.4786729857819907</c:v>
                </c:pt>
                <c:pt idx="14">
                  <c:v>8.6750788643533117</c:v>
                </c:pt>
                <c:pt idx="15">
                  <c:v>7.8740157480314963</c:v>
                </c:pt>
                <c:pt idx="16">
                  <c:v>7.0754716981132075</c:v>
                </c:pt>
                <c:pt idx="17">
                  <c:v>6.2794348508634226</c:v>
                </c:pt>
                <c:pt idx="18">
                  <c:v>5.4858934169278992</c:v>
                </c:pt>
                <c:pt idx="19">
                  <c:v>4.694835680751174</c:v>
                </c:pt>
                <c:pt idx="20">
                  <c:v>3.90625</c:v>
                </c:pt>
                <c:pt idx="21">
                  <c:v>3.1201248049921997</c:v>
                </c:pt>
                <c:pt idx="22">
                  <c:v>2.3364485981308412</c:v>
                </c:pt>
                <c:pt idx="23">
                  <c:v>1.5552099533437014</c:v>
                </c:pt>
                <c:pt idx="24">
                  <c:v>0.77639751552795033</c:v>
                </c:pt>
                <c:pt idx="2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D3-F078-4F9D-8E12-A7749FC4F1B8}"/>
            </c:ext>
          </c:extLst>
        </c:ser>
        <c:ser>
          <c:idx val="34"/>
          <c:order val="33"/>
          <c:tx>
            <c:strRef>
              <c:f>'Diagramme psychro -10 à +40°C'!$BC$73</c:f>
              <c:strCache>
                <c:ptCount val="1"/>
                <c:pt idx="0">
                  <c:v>50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4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5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6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7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8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9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A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B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C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D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E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DF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0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1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2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3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4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5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6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7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8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9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A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B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C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+40°C'!$BC$74:$BC$99</c:f>
              <c:numCache>
                <c:formatCode>#\ ##0.00\ "gr/kg";\-#\ ##0.00\ "gr/kg"</c:formatCode>
                <c:ptCount val="26"/>
                <c:pt idx="0">
                  <c:v>24.193548387096776</c:v>
                </c:pt>
                <c:pt idx="1">
                  <c:v>23.349436392914654</c:v>
                </c:pt>
                <c:pt idx="2">
                  <c:v>22.508038585209004</c:v>
                </c:pt>
                <c:pt idx="3">
                  <c:v>21.669341894060995</c:v>
                </c:pt>
                <c:pt idx="4">
                  <c:v>20.833333333333332</c:v>
                </c:pt>
                <c:pt idx="5">
                  <c:v>20</c:v>
                </c:pt>
                <c:pt idx="6">
                  <c:v>19.169329073482427</c:v>
                </c:pt>
                <c:pt idx="7">
                  <c:v>18.341307814992025</c:v>
                </c:pt>
                <c:pt idx="8">
                  <c:v>17.515923566878982</c:v>
                </c:pt>
                <c:pt idx="9">
                  <c:v>16.693163751987282</c:v>
                </c:pt>
                <c:pt idx="10">
                  <c:v>15.873015873015873</c:v>
                </c:pt>
                <c:pt idx="11">
                  <c:v>15.055467511885896</c:v>
                </c:pt>
                <c:pt idx="12">
                  <c:v>14.240506329113924</c:v>
                </c:pt>
                <c:pt idx="13">
                  <c:v>13.428120063191153</c:v>
                </c:pt>
                <c:pt idx="14">
                  <c:v>12.618296529968454</c:v>
                </c:pt>
                <c:pt idx="15">
                  <c:v>11.811023622047244</c:v>
                </c:pt>
                <c:pt idx="16">
                  <c:v>11.0062893081761</c:v>
                </c:pt>
                <c:pt idx="17">
                  <c:v>10.204081632653061</c:v>
                </c:pt>
                <c:pt idx="18">
                  <c:v>9.4043887147335425</c:v>
                </c:pt>
                <c:pt idx="19">
                  <c:v>8.6071987480438175</c:v>
                </c:pt>
                <c:pt idx="20">
                  <c:v>7.8125</c:v>
                </c:pt>
                <c:pt idx="21">
                  <c:v>7.0202808112324488</c:v>
                </c:pt>
                <c:pt idx="22">
                  <c:v>6.2305295950155761</c:v>
                </c:pt>
                <c:pt idx="23">
                  <c:v>5.4432348367029544</c:v>
                </c:pt>
                <c:pt idx="24">
                  <c:v>4.658385093167702</c:v>
                </c:pt>
                <c:pt idx="25">
                  <c:v>3.8759689922480618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1ED-F078-4F9D-8E12-A7749FC4F1B8}"/>
            </c:ext>
          </c:extLst>
        </c:ser>
        <c:ser>
          <c:idx val="35"/>
          <c:order val="34"/>
          <c:tx>
            <c:strRef>
              <c:f>'Diagramme psychro -10 à +40°C'!$BD$73</c:f>
              <c:strCache>
                <c:ptCount val="1"/>
                <c:pt idx="0">
                  <c:v>60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E-F078-4F9D-8E12-A7749FC4F1B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EF-F078-4F9D-8E12-A7749FC4F1B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0-F078-4F9D-8E12-A7749FC4F1B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1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2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3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4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5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6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7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8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9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A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B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C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D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E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1FF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0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1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2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3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4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5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6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+40°C'!$BD$74:$BD$99</c:f>
              <c:numCache>
                <c:formatCode>#\ ##0.00\ "gr/kg";\-#\ ##0.00\ "gr/kg"</c:formatCode>
                <c:ptCount val="26"/>
                <c:pt idx="0">
                  <c:v>28.225806451612904</c:v>
                </c:pt>
                <c:pt idx="1">
                  <c:v>27.375201288244767</c:v>
                </c:pt>
                <c:pt idx="2">
                  <c:v>26.527331189710612</c:v>
                </c:pt>
                <c:pt idx="3">
                  <c:v>25.682182985553773</c:v>
                </c:pt>
                <c:pt idx="4">
                  <c:v>24.839743589743591</c:v>
                </c:pt>
                <c:pt idx="5">
                  <c:v>24</c:v>
                </c:pt>
                <c:pt idx="6">
                  <c:v>23.162939297124602</c:v>
                </c:pt>
                <c:pt idx="7">
                  <c:v>22.328548644338117</c:v>
                </c:pt>
                <c:pt idx="8">
                  <c:v>21.496815286624205</c:v>
                </c:pt>
                <c:pt idx="9">
                  <c:v>20.66772655007949</c:v>
                </c:pt>
                <c:pt idx="10">
                  <c:v>19.841269841269842</c:v>
                </c:pt>
                <c:pt idx="11">
                  <c:v>19.017432646592709</c:v>
                </c:pt>
                <c:pt idx="12">
                  <c:v>18.196202531645568</c:v>
                </c:pt>
                <c:pt idx="13">
                  <c:v>17.377567140600316</c:v>
                </c:pt>
                <c:pt idx="14">
                  <c:v>16.561514195583594</c:v>
                </c:pt>
                <c:pt idx="15">
                  <c:v>15.748031496062993</c:v>
                </c:pt>
                <c:pt idx="16">
                  <c:v>14.937106918238994</c:v>
                </c:pt>
                <c:pt idx="17">
                  <c:v>14.128728414442699</c:v>
                </c:pt>
                <c:pt idx="18">
                  <c:v>13.322884012539184</c:v>
                </c:pt>
                <c:pt idx="19">
                  <c:v>12.519561815336463</c:v>
                </c:pt>
                <c:pt idx="20">
                  <c:v>11.71875</c:v>
                </c:pt>
                <c:pt idx="21">
                  <c:v>10.920436817472698</c:v>
                </c:pt>
                <c:pt idx="22">
                  <c:v>10.124610591900311</c:v>
                </c:pt>
                <c:pt idx="23">
                  <c:v>9.3312597200622083</c:v>
                </c:pt>
                <c:pt idx="24">
                  <c:v>8.5403726708074537</c:v>
                </c:pt>
                <c:pt idx="25">
                  <c:v>7.7519379844961236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07-F078-4F9D-8E12-A7749FC4F1B8}"/>
            </c:ext>
          </c:extLst>
        </c:ser>
        <c:ser>
          <c:idx val="36"/>
          <c:order val="35"/>
          <c:tx>
            <c:strRef>
              <c:f>'Diagramme psychro -10 à +40°C'!$BE$73</c:f>
              <c:strCache>
                <c:ptCount val="1"/>
                <c:pt idx="0">
                  <c:v>70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8-F078-4F9D-8E12-A7749FC4F1B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9-F078-4F9D-8E12-A7749FC4F1B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A-F078-4F9D-8E12-A7749FC4F1B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B-F078-4F9D-8E12-A7749FC4F1B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C-F078-4F9D-8E12-A7749FC4F1B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D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E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0F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0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1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2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3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4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5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6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7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8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9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A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B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C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D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+40°C'!$BE$74:$BE$99</c:f>
              <c:numCache>
                <c:formatCode>#\ ##0.00\ "gr/kg";\-#\ ##0.00\ "gr/kg"</c:formatCode>
                <c:ptCount val="26"/>
                <c:pt idx="0">
                  <c:v>32.258064516129032</c:v>
                </c:pt>
                <c:pt idx="1">
                  <c:v>31.40096618357488</c:v>
                </c:pt>
                <c:pt idx="2">
                  <c:v>30.54662379421222</c:v>
                </c:pt>
                <c:pt idx="3">
                  <c:v>29.695024077046551</c:v>
                </c:pt>
                <c:pt idx="4">
                  <c:v>28.846153846153847</c:v>
                </c:pt>
                <c:pt idx="5">
                  <c:v>28</c:v>
                </c:pt>
                <c:pt idx="6">
                  <c:v>27.156549520766774</c:v>
                </c:pt>
                <c:pt idx="7">
                  <c:v>26.315789473684209</c:v>
                </c:pt>
                <c:pt idx="8">
                  <c:v>25.477707006369428</c:v>
                </c:pt>
                <c:pt idx="9">
                  <c:v>24.642289348171701</c:v>
                </c:pt>
                <c:pt idx="10">
                  <c:v>23.80952380952381</c:v>
                </c:pt>
                <c:pt idx="11">
                  <c:v>22.979397781299525</c:v>
                </c:pt>
                <c:pt idx="12">
                  <c:v>22.151898734177216</c:v>
                </c:pt>
                <c:pt idx="13">
                  <c:v>21.327014218009477</c:v>
                </c:pt>
                <c:pt idx="14">
                  <c:v>20.504731861198739</c:v>
                </c:pt>
                <c:pt idx="15">
                  <c:v>19.685039370078741</c:v>
                </c:pt>
                <c:pt idx="16">
                  <c:v>18.867924528301888</c:v>
                </c:pt>
                <c:pt idx="17">
                  <c:v>18.053375196232338</c:v>
                </c:pt>
                <c:pt idx="18">
                  <c:v>17.241379310344826</c:v>
                </c:pt>
                <c:pt idx="19">
                  <c:v>16.431924882629108</c:v>
                </c:pt>
                <c:pt idx="20">
                  <c:v>15.625</c:v>
                </c:pt>
                <c:pt idx="21">
                  <c:v>14.820592823712948</c:v>
                </c:pt>
                <c:pt idx="22">
                  <c:v>14.018691588785046</c:v>
                </c:pt>
                <c:pt idx="23">
                  <c:v>13.219284603421462</c:v>
                </c:pt>
                <c:pt idx="24">
                  <c:v>12.422360248447205</c:v>
                </c:pt>
                <c:pt idx="25">
                  <c:v>11.627906976744185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1E-F078-4F9D-8E12-A7749FC4F1B8}"/>
            </c:ext>
          </c:extLst>
        </c:ser>
        <c:ser>
          <c:idx val="37"/>
          <c:order val="36"/>
          <c:tx>
            <c:strRef>
              <c:f>'Diagramme psychro -10 à +40°C'!$BF$73</c:f>
              <c:strCache>
                <c:ptCount val="1"/>
                <c:pt idx="0">
                  <c:v>80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1F-F078-4F9D-8E12-A7749FC4F1B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0-F078-4F9D-8E12-A7749FC4F1B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1-F078-4F9D-8E12-A7749FC4F1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2-F078-4F9D-8E12-A7749FC4F1B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3-F078-4F9D-8E12-A7749FC4F1B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4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5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6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7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8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9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A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B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C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D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E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2F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+40°C'!$BF$74:$BF$99</c:f>
              <c:numCache>
                <c:formatCode>#\ ##0.00\ "gr/kg";\-#\ ##0.00\ "gr/kg"</c:formatCode>
                <c:ptCount val="26"/>
                <c:pt idx="0">
                  <c:v>36.29032258064516</c:v>
                </c:pt>
                <c:pt idx="1">
                  <c:v>35.426731078904993</c:v>
                </c:pt>
                <c:pt idx="2">
                  <c:v>34.565916398713824</c:v>
                </c:pt>
                <c:pt idx="3">
                  <c:v>33.707865168539328</c:v>
                </c:pt>
                <c:pt idx="4">
                  <c:v>32.852564102564102</c:v>
                </c:pt>
                <c:pt idx="5">
                  <c:v>32</c:v>
                </c:pt>
                <c:pt idx="6">
                  <c:v>31.150159744408946</c:v>
                </c:pt>
                <c:pt idx="7">
                  <c:v>30.303030303030305</c:v>
                </c:pt>
                <c:pt idx="8">
                  <c:v>29.458598726114648</c:v>
                </c:pt>
                <c:pt idx="9">
                  <c:v>28.616852146263909</c:v>
                </c:pt>
                <c:pt idx="10">
                  <c:v>27.777777777777779</c:v>
                </c:pt>
                <c:pt idx="11">
                  <c:v>26.941362916006337</c:v>
                </c:pt>
                <c:pt idx="12">
                  <c:v>26.10759493670886</c:v>
                </c:pt>
                <c:pt idx="13">
                  <c:v>25.276461295418642</c:v>
                </c:pt>
                <c:pt idx="14">
                  <c:v>24.447949526813879</c:v>
                </c:pt>
                <c:pt idx="15">
                  <c:v>23.622047244094489</c:v>
                </c:pt>
                <c:pt idx="16">
                  <c:v>22.79874213836478</c:v>
                </c:pt>
                <c:pt idx="17">
                  <c:v>21.978021978021978</c:v>
                </c:pt>
                <c:pt idx="18">
                  <c:v>21.159874608150471</c:v>
                </c:pt>
                <c:pt idx="19">
                  <c:v>20.344287949921753</c:v>
                </c:pt>
                <c:pt idx="20">
                  <c:v>19.53125</c:v>
                </c:pt>
                <c:pt idx="21">
                  <c:v>18.720748829953198</c:v>
                </c:pt>
                <c:pt idx="22">
                  <c:v>17.912772585669781</c:v>
                </c:pt>
                <c:pt idx="23">
                  <c:v>17.107309486780714</c:v>
                </c:pt>
                <c:pt idx="24">
                  <c:v>16.304347826086957</c:v>
                </c:pt>
                <c:pt idx="25">
                  <c:v>15.503875968992247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30-F078-4F9D-8E12-A7749FC4F1B8}"/>
            </c:ext>
          </c:extLst>
        </c:ser>
        <c:ser>
          <c:idx val="38"/>
          <c:order val="37"/>
          <c:tx>
            <c:strRef>
              <c:f>'Diagramme psychro -10 à +40°C'!$BG$73</c:f>
              <c:strCache>
                <c:ptCount val="1"/>
                <c:pt idx="0">
                  <c:v>90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1-F078-4F9D-8E12-A7749FC4F1B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2-F078-4F9D-8E12-A7749FC4F1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3-F078-4F9D-8E12-A7749FC4F1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4-F078-4F9D-8E12-A7749FC4F1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5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6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7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8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9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A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B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C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+40°C'!$BG$74:$BG$99</c:f>
              <c:numCache>
                <c:formatCode>#\ ##0.00\ "gr/kg";\-#\ ##0.00\ "gr/kg"</c:formatCode>
                <c:ptCount val="26"/>
                <c:pt idx="0">
                  <c:v>40.322580645161288</c:v>
                </c:pt>
                <c:pt idx="1">
                  <c:v>39.452495974235106</c:v>
                </c:pt>
                <c:pt idx="2">
                  <c:v>38.585209003215432</c:v>
                </c:pt>
                <c:pt idx="3">
                  <c:v>37.720706260032102</c:v>
                </c:pt>
                <c:pt idx="4">
                  <c:v>36.858974358974358</c:v>
                </c:pt>
                <c:pt idx="5">
                  <c:v>36</c:v>
                </c:pt>
                <c:pt idx="6">
                  <c:v>35.143769968051117</c:v>
                </c:pt>
                <c:pt idx="7">
                  <c:v>34.290271132376397</c:v>
                </c:pt>
                <c:pt idx="8">
                  <c:v>33.439490445859875</c:v>
                </c:pt>
                <c:pt idx="9">
                  <c:v>32.591414944356117</c:v>
                </c:pt>
                <c:pt idx="10">
                  <c:v>31.746031746031747</c:v>
                </c:pt>
                <c:pt idx="11">
                  <c:v>30.903328050713153</c:v>
                </c:pt>
                <c:pt idx="12">
                  <c:v>30.063291139240505</c:v>
                </c:pt>
                <c:pt idx="13">
                  <c:v>29.225908372827803</c:v>
                </c:pt>
                <c:pt idx="14">
                  <c:v>28.391167192429023</c:v>
                </c:pt>
                <c:pt idx="15">
                  <c:v>27.559055118110237</c:v>
                </c:pt>
                <c:pt idx="16">
                  <c:v>26.729559748427672</c:v>
                </c:pt>
                <c:pt idx="17">
                  <c:v>25.902668759811615</c:v>
                </c:pt>
                <c:pt idx="18">
                  <c:v>25.078369905956112</c:v>
                </c:pt>
                <c:pt idx="19">
                  <c:v>24.256651017214399</c:v>
                </c:pt>
                <c:pt idx="20">
                  <c:v>23.4375</c:v>
                </c:pt>
                <c:pt idx="21">
                  <c:v>22.620904836193446</c:v>
                </c:pt>
                <c:pt idx="22">
                  <c:v>21.806853582554517</c:v>
                </c:pt>
                <c:pt idx="23">
                  <c:v>20.995334370139968</c:v>
                </c:pt>
                <c:pt idx="24">
                  <c:v>20.186335403726709</c:v>
                </c:pt>
                <c:pt idx="25">
                  <c:v>19.379844961240309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3D-F078-4F9D-8E12-A7749FC4F1B8}"/>
            </c:ext>
          </c:extLst>
        </c:ser>
        <c:ser>
          <c:idx val="39"/>
          <c:order val="38"/>
          <c:tx>
            <c:strRef>
              <c:f>'Diagramme psychro -10 à +40°C'!$BH$73</c:f>
              <c:strCache>
                <c:ptCount val="1"/>
                <c:pt idx="0">
                  <c:v>100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E-F078-4F9D-8E12-A7749FC4F1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3F-F078-4F9D-8E12-A7749FC4F1B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0-F078-4F9D-8E12-A7749FC4F1B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1-F078-4F9D-8E12-A7749FC4F1B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2-F078-4F9D-8E12-A7749FC4F1B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3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4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5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+40°C'!$BH$74:$BH$99</c:f>
              <c:numCache>
                <c:formatCode>#\ ##0.00\ "gr/kg";\-#\ ##0.00\ "gr/kg"</c:formatCode>
                <c:ptCount val="26"/>
                <c:pt idx="0">
                  <c:v>44.354838709677416</c:v>
                </c:pt>
                <c:pt idx="1">
                  <c:v>43.478260869565219</c:v>
                </c:pt>
                <c:pt idx="2">
                  <c:v>42.60450160771704</c:v>
                </c:pt>
                <c:pt idx="3">
                  <c:v>41.733547351524876</c:v>
                </c:pt>
                <c:pt idx="4">
                  <c:v>40.865384615384613</c:v>
                </c:pt>
                <c:pt idx="5">
                  <c:v>40</c:v>
                </c:pt>
                <c:pt idx="6">
                  <c:v>39.137380191693289</c:v>
                </c:pt>
                <c:pt idx="7">
                  <c:v>38.277511961722489</c:v>
                </c:pt>
                <c:pt idx="8">
                  <c:v>37.420382165605098</c:v>
                </c:pt>
                <c:pt idx="9">
                  <c:v>36.565977742448332</c:v>
                </c:pt>
                <c:pt idx="10">
                  <c:v>35.714285714285715</c:v>
                </c:pt>
                <c:pt idx="11">
                  <c:v>34.865293185419965</c:v>
                </c:pt>
                <c:pt idx="12">
                  <c:v>34.018987341772153</c:v>
                </c:pt>
                <c:pt idx="13">
                  <c:v>33.175355450236964</c:v>
                </c:pt>
                <c:pt idx="14">
                  <c:v>32.33438485804416</c:v>
                </c:pt>
                <c:pt idx="15">
                  <c:v>31.496062992125985</c:v>
                </c:pt>
                <c:pt idx="16">
                  <c:v>30.660377358490564</c:v>
                </c:pt>
                <c:pt idx="17">
                  <c:v>29.827315541601255</c:v>
                </c:pt>
                <c:pt idx="18">
                  <c:v>28.996865203761754</c:v>
                </c:pt>
                <c:pt idx="19">
                  <c:v>28.16901408450704</c:v>
                </c:pt>
                <c:pt idx="20">
                  <c:v>27.34375</c:v>
                </c:pt>
                <c:pt idx="21">
                  <c:v>26.521060842433698</c:v>
                </c:pt>
                <c:pt idx="22">
                  <c:v>25.700934579439252</c:v>
                </c:pt>
                <c:pt idx="23">
                  <c:v>24.883359253499222</c:v>
                </c:pt>
                <c:pt idx="24">
                  <c:v>24.06832298136646</c:v>
                </c:pt>
                <c:pt idx="25">
                  <c:v>23.255813953488371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46-F078-4F9D-8E12-A7749FC4F1B8}"/>
            </c:ext>
          </c:extLst>
        </c:ser>
        <c:ser>
          <c:idx val="40"/>
          <c:order val="39"/>
          <c:tx>
            <c:strRef>
              <c:f>'Diagramme psychro -10 à +40°C'!$BI$73</c:f>
              <c:strCache>
                <c:ptCount val="1"/>
                <c:pt idx="0">
                  <c:v>110 kj/kg</c:v>
                </c:pt>
              </c:strCache>
            </c:strRef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7-F078-4F9D-8E12-A7749FC4F1B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8-F078-4F9D-8E12-A7749FC4F1B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249-F078-4F9D-8E12-A7749FC4F1B8}"/>
                </c:ext>
              </c:extLst>
            </c:dLbl>
            <c:spPr>
              <a:noFill/>
              <a:ln w="25400">
                <a:noFill/>
              </a:ln>
            </c:spPr>
            <c:txPr>
              <a:bodyPr rot="900000" vert="horz"/>
              <a:lstStyle/>
              <a:p>
                <a:pPr algn="ctr">
                  <a:defRPr sz="6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'Diagramme psychro -10 à +40°C'!$U$74:$U$99</c:f>
              <c:numCache>
                <c:formatCode>#\ ##0\ "°C";\-#\ ##0\ "°C"</c:formatCode>
                <c:ptCount val="26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34</c:v>
                </c:pt>
                <c:pt idx="23">
                  <c:v>36</c:v>
                </c:pt>
                <c:pt idx="24">
                  <c:v>38</c:v>
                </c:pt>
                <c:pt idx="25">
                  <c:v>40</c:v>
                </c:pt>
              </c:numCache>
            </c:numRef>
          </c:xVal>
          <c:yVal>
            <c:numRef>
              <c:f>'Diagramme psychro -10 à +40°C'!$BI$74:$BI$99</c:f>
              <c:numCache>
                <c:formatCode>#\ ##0.00\ "gr/kg";\-#\ ##0.00\ "gr/kg"</c:formatCode>
                <c:ptCount val="26"/>
                <c:pt idx="0">
                  <c:v>48.387096774193552</c:v>
                </c:pt>
                <c:pt idx="1">
                  <c:v>47.504025764895331</c:v>
                </c:pt>
                <c:pt idx="2">
                  <c:v>46.623794212218648</c:v>
                </c:pt>
                <c:pt idx="3">
                  <c:v>45.746388443017658</c:v>
                </c:pt>
                <c:pt idx="4">
                  <c:v>44.871794871794869</c:v>
                </c:pt>
                <c:pt idx="5">
                  <c:v>44</c:v>
                </c:pt>
                <c:pt idx="6">
                  <c:v>43.130990415335461</c:v>
                </c:pt>
                <c:pt idx="7">
                  <c:v>42.264752791068581</c:v>
                </c:pt>
                <c:pt idx="8">
                  <c:v>41.401273885350321</c:v>
                </c:pt>
                <c:pt idx="9">
                  <c:v>40.54054054054054</c:v>
                </c:pt>
                <c:pt idx="10">
                  <c:v>39.682539682539684</c:v>
                </c:pt>
                <c:pt idx="11">
                  <c:v>38.827258320126781</c:v>
                </c:pt>
                <c:pt idx="12">
                  <c:v>37.974683544303794</c:v>
                </c:pt>
                <c:pt idx="13">
                  <c:v>37.124802527646132</c:v>
                </c:pt>
                <c:pt idx="14">
                  <c:v>36.277602523659304</c:v>
                </c:pt>
                <c:pt idx="15">
                  <c:v>35.433070866141733</c:v>
                </c:pt>
                <c:pt idx="16">
                  <c:v>34.591194968553459</c:v>
                </c:pt>
                <c:pt idx="17">
                  <c:v>33.751962323390892</c:v>
                </c:pt>
                <c:pt idx="18">
                  <c:v>32.915360501567399</c:v>
                </c:pt>
                <c:pt idx="19">
                  <c:v>32.081377151799686</c:v>
                </c:pt>
                <c:pt idx="20">
                  <c:v>31.25</c:v>
                </c:pt>
                <c:pt idx="21">
                  <c:v>30.421216848673946</c:v>
                </c:pt>
                <c:pt idx="22">
                  <c:v>29.595015576323988</c:v>
                </c:pt>
                <c:pt idx="23">
                  <c:v>28.771384136858476</c:v>
                </c:pt>
                <c:pt idx="24">
                  <c:v>27.950310559006212</c:v>
                </c:pt>
                <c:pt idx="25">
                  <c:v>27.131782945736433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4A-F078-4F9D-8E12-A7749FC4F1B8}"/>
            </c:ext>
          </c:extLst>
        </c:ser>
        <c:ser>
          <c:idx val="28"/>
          <c:order val="40"/>
          <c:tx>
            <c:v>Evolution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elete val="1"/>
          </c:dLbls>
          <c:xVal>
            <c:numRef>
              <c:f>'Diagramme psychro -10 à +40°C'!$AZ$70:$AZ$71</c:f>
              <c:numCache>
                <c:formatCode>#\ ##0\ "°C";\-#\ ##0\ "°C"</c:formatCode>
                <c:ptCount val="2"/>
                <c:pt idx="0">
                  <c:v>23.5</c:v>
                </c:pt>
                <c:pt idx="1">
                  <c:v>16.600000000000001</c:v>
                </c:pt>
              </c:numCache>
            </c:numRef>
          </c:xVal>
          <c:yVal>
            <c:numRef>
              <c:f>'Diagramme psychro -10 à +40°C'!$BA$70:$BA$71</c:f>
              <c:numCache>
                <c:formatCode>#\ ##0.00\ "gr/kg";\-#\ ##0.00\ "gr/kg"</c:formatCode>
                <c:ptCount val="2"/>
                <c:pt idx="0">
                  <c:v>9.3000000000000007</c:v>
                </c:pt>
                <c:pt idx="1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24B-F078-4F9D-8E12-A7749FC4F1B8}"/>
            </c:ext>
          </c:extLst>
        </c:ser>
        <c:dLbls>
          <c:showLegendKey val="0"/>
          <c:showVal val="0"/>
          <c:showCatName val="0"/>
          <c:showSerName val="1"/>
          <c:showPercent val="0"/>
          <c:showBubbleSize val="0"/>
        </c:dLbls>
        <c:axId val="161393664"/>
        <c:axId val="161433088"/>
      </c:scatterChart>
      <c:valAx>
        <c:axId val="161393664"/>
        <c:scaling>
          <c:orientation val="minMax"/>
          <c:max val="40"/>
          <c:min val="-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400"/>
                  <a:t>Température sèche (°C)</a:t>
                </a:r>
              </a:p>
            </c:rich>
          </c:tx>
          <c:layout>
            <c:manualLayout>
              <c:xMode val="edge"/>
              <c:yMode val="edge"/>
              <c:x val="0.38153321536027607"/>
              <c:y val="0.9561149808197045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\ &quot;°C&quot;;\-#\ ##0\ &quot;°C&quot;" sourceLinked="1"/>
        <c:majorTickMark val="out"/>
        <c:minorTickMark val="none"/>
        <c:tickLblPos val="nextTo"/>
        <c:spPr>
          <a:ln w="19050">
            <a:solidFill>
              <a:srgbClr val="0000FF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433088"/>
        <c:crosses val="autoZero"/>
        <c:crossBetween val="midCat"/>
        <c:majorUnit val="2"/>
        <c:minorUnit val="1"/>
      </c:valAx>
      <c:valAx>
        <c:axId val="161433088"/>
        <c:scaling>
          <c:orientation val="minMax"/>
          <c:max val="3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400"/>
                  <a:t>Hygrométrie absolue (gr d'eau / kg d'air sec)</a:t>
                </a:r>
              </a:p>
            </c:rich>
          </c:tx>
          <c:layout>
            <c:manualLayout>
              <c:xMode val="edge"/>
              <c:yMode val="edge"/>
              <c:x val="0.9581884589713362"/>
              <c:y val="0.239645143512175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\ &quot;gr/kg&quot;;\-#,##0\ &quot;gr/kg&quot;" sourceLinked="0"/>
        <c:majorTickMark val="out"/>
        <c:minorTickMark val="none"/>
        <c:tickLblPos val="nextTo"/>
        <c:spPr>
          <a:ln w="15875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393664"/>
        <c:crosses val="max"/>
        <c:crossBetween val="midCat"/>
        <c:majorUnit val="2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C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106" footer="0.49212598450000106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71120</xdr:rowOff>
    </xdr:from>
    <xdr:to>
      <xdr:col>14</xdr:col>
      <xdr:colOff>733209</xdr:colOff>
      <xdr:row>181</xdr:row>
      <xdr:rowOff>142240</xdr:rowOff>
    </xdr:to>
    <xdr:grpSp>
      <xdr:nvGrpSpPr>
        <xdr:cNvPr id="49" name="Group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pSpPr/>
      </xdr:nvGrpSpPr>
      <xdr:grpSpPr>
        <a:xfrm>
          <a:off x="0" y="10038080"/>
          <a:ext cx="17161929" cy="24394160"/>
          <a:chOff x="0" y="10358120"/>
          <a:chExt cx="17192409" cy="25407620"/>
        </a:xfrm>
      </xdr:grpSpPr>
      <xdr:grpSp>
        <xdr:nvGrpSpPr>
          <xdr:cNvPr id="40" name="Groupe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GrpSpPr/>
        </xdr:nvGrpSpPr>
        <xdr:grpSpPr>
          <a:xfrm>
            <a:off x="10161" y="10358120"/>
            <a:ext cx="17182248" cy="25407620"/>
            <a:chOff x="10161" y="9723120"/>
            <a:chExt cx="17309248" cy="23718520"/>
          </a:xfrm>
        </xdr:grpSpPr>
        <xdr:pic>
          <xdr:nvPicPr>
            <xdr:cNvPr id="1025" name="Picture 1">
              <a:extLs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161" y="9723120"/>
              <a:ext cx="17309248" cy="23718520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cxnSp macro="">
          <xdr:nvCxnSpPr>
            <xdr:cNvPr id="4" name="Connecteur droit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CxnSpPr/>
          </xdr:nvCxnSpPr>
          <xdr:spPr>
            <a:xfrm rot="5400000" flipH="1" flipV="1">
              <a:off x="-7228840" y="22479000"/>
              <a:ext cx="20878800" cy="132080"/>
            </a:xfrm>
            <a:prstGeom prst="line">
              <a:avLst/>
            </a:prstGeom>
            <a:ln w="3492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" name="Connecteur droit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CxnSpPr/>
          </xdr:nvCxnSpPr>
          <xdr:spPr>
            <a:xfrm flipV="1">
              <a:off x="1620520" y="24973280"/>
              <a:ext cx="13980160" cy="1021080"/>
            </a:xfrm>
            <a:prstGeom prst="line">
              <a:avLst/>
            </a:prstGeom>
            <a:ln w="3492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" name="Connecteur droit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CxnSpPr/>
          </xdr:nvCxnSpPr>
          <xdr:spPr>
            <a:xfrm flipV="1">
              <a:off x="1600200" y="27157680"/>
              <a:ext cx="14091920" cy="670560"/>
            </a:xfrm>
            <a:prstGeom prst="line">
              <a:avLst/>
            </a:prstGeom>
            <a:ln w="34925">
              <a:solidFill>
                <a:srgbClr val="0000F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Connecteur droit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CxnSpPr/>
          </xdr:nvCxnSpPr>
          <xdr:spPr>
            <a:xfrm flipV="1">
              <a:off x="1452881" y="30932120"/>
              <a:ext cx="1732279" cy="30480"/>
            </a:xfrm>
            <a:prstGeom prst="line">
              <a:avLst/>
            </a:prstGeom>
            <a:ln w="34925">
              <a:solidFill>
                <a:srgbClr val="0000F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Connecteur droit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CxnSpPr/>
          </xdr:nvCxnSpPr>
          <xdr:spPr>
            <a:xfrm rot="16200000" flipH="1">
              <a:off x="970280" y="24627840"/>
              <a:ext cx="8158480" cy="6878320"/>
            </a:xfrm>
            <a:prstGeom prst="line">
              <a:avLst/>
            </a:prstGeom>
            <a:ln w="44450">
              <a:solidFill>
                <a:srgbClr val="008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Connecteur droit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CxnSpPr/>
          </xdr:nvCxnSpPr>
          <xdr:spPr>
            <a:xfrm rot="5400000" flipH="1" flipV="1">
              <a:off x="-5681980" y="22517100"/>
              <a:ext cx="20883880" cy="132080"/>
            </a:xfrm>
            <a:prstGeom prst="line">
              <a:avLst/>
            </a:prstGeom>
            <a:ln w="3492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Connecteur droit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CxnSpPr/>
          </xdr:nvCxnSpPr>
          <xdr:spPr>
            <a:xfrm rot="16200000" flipH="1">
              <a:off x="1315720" y="29316680"/>
              <a:ext cx="3418840" cy="2870200"/>
            </a:xfrm>
            <a:prstGeom prst="line">
              <a:avLst/>
            </a:prstGeom>
            <a:ln w="44450">
              <a:solidFill>
                <a:srgbClr val="008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6" name="Ellipse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SpPr/>
          </xdr:nvSpPr>
          <xdr:spPr>
            <a:xfrm>
              <a:off x="4561840" y="27503120"/>
              <a:ext cx="375920" cy="355600"/>
            </a:xfrm>
            <a:prstGeom prst="ellipse">
              <a:avLst/>
            </a:prstGeom>
            <a:noFill/>
            <a:ln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27" name="Ellipse 26">
              <a:extLst>
                <a:ext uri="{FF2B5EF4-FFF2-40B4-BE49-F238E27FC236}">
                  <a16:creationId xmlns:a16="http://schemas.microsoft.com/office/drawing/2014/main" id="{00000000-0008-0000-0100-00001B000000}"/>
                </a:ext>
              </a:extLst>
            </xdr:cNvPr>
            <xdr:cNvSpPr/>
          </xdr:nvSpPr>
          <xdr:spPr>
            <a:xfrm>
              <a:off x="2941320" y="30754320"/>
              <a:ext cx="386080" cy="355600"/>
            </a:xfrm>
            <a:prstGeom prst="ellipse">
              <a:avLst/>
            </a:prstGeom>
            <a:noFill/>
            <a:ln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28" name="Ellipse 27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/>
          </xdr:nvSpPr>
          <xdr:spPr>
            <a:xfrm>
              <a:off x="3002280" y="25704800"/>
              <a:ext cx="386080" cy="355600"/>
            </a:xfrm>
            <a:prstGeom prst="ellipse">
              <a:avLst/>
            </a:prstGeom>
            <a:noFill/>
            <a:ln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30" name="ZoneTexte 29">
              <a:extLst>
                <a:ext uri="{FF2B5EF4-FFF2-40B4-BE49-F238E27FC236}">
                  <a16:creationId xmlns:a16="http://schemas.microsoft.com/office/drawing/2014/main" id="{00000000-0008-0000-0100-00001E000000}"/>
                </a:ext>
              </a:extLst>
            </xdr:cNvPr>
            <xdr:cNvSpPr txBox="1"/>
          </xdr:nvSpPr>
          <xdr:spPr>
            <a:xfrm>
              <a:off x="2443480" y="33035240"/>
              <a:ext cx="68072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FF0000"/>
                  </a:solidFill>
                </a:rPr>
                <a:t>9.0</a:t>
              </a:r>
            </a:p>
          </xdr:txBody>
        </xdr:sp>
        <xdr:sp macro="" textlink="">
          <xdr:nvSpPr>
            <xdr:cNvPr id="31" name="ZoneTexte 30">
              <a:extLst>
                <a:ext uri="{FF2B5EF4-FFF2-40B4-BE49-F238E27FC236}">
                  <a16:creationId xmlns:a16="http://schemas.microsoft.com/office/drawing/2014/main" id="{00000000-0008-0000-0100-00001F000000}"/>
                </a:ext>
              </a:extLst>
            </xdr:cNvPr>
            <xdr:cNvSpPr txBox="1"/>
          </xdr:nvSpPr>
          <xdr:spPr>
            <a:xfrm>
              <a:off x="4201160" y="33055560"/>
              <a:ext cx="68580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FF0000"/>
                  </a:solidFill>
                </a:rPr>
                <a:t>18.1</a:t>
              </a:r>
            </a:p>
          </xdr:txBody>
        </xdr:sp>
        <xdr:sp macro="" textlink="">
          <xdr:nvSpPr>
            <xdr:cNvPr id="32" name="ZoneTexte 31">
              <a:extLst>
                <a:ext uri="{FF2B5EF4-FFF2-40B4-BE49-F238E27FC236}">
                  <a16:creationId xmlns:a16="http://schemas.microsoft.com/office/drawing/2014/main" id="{00000000-0008-0000-0100-000020000000}"/>
                </a:ext>
              </a:extLst>
            </xdr:cNvPr>
            <xdr:cNvSpPr txBox="1"/>
          </xdr:nvSpPr>
          <xdr:spPr>
            <a:xfrm>
              <a:off x="777240" y="27640280"/>
              <a:ext cx="670560" cy="29972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0000FF"/>
                  </a:solidFill>
                </a:rPr>
                <a:t>62.0</a:t>
              </a:r>
            </a:p>
          </xdr:txBody>
        </xdr:sp>
        <xdr:sp macro="" textlink="">
          <xdr:nvSpPr>
            <xdr:cNvPr id="33" name="ZoneTexte 32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 txBox="1"/>
          </xdr:nvSpPr>
          <xdr:spPr>
            <a:xfrm>
              <a:off x="848360" y="25755600"/>
              <a:ext cx="67056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FF0000"/>
                  </a:solidFill>
                </a:rPr>
                <a:t>85.0</a:t>
              </a:r>
            </a:p>
          </xdr:txBody>
        </xdr:sp>
        <xdr:sp macro="" textlink="">
          <xdr:nvSpPr>
            <xdr:cNvPr id="34" name="ZoneTexte 33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 txBox="1"/>
          </xdr:nvSpPr>
          <xdr:spPr>
            <a:xfrm>
              <a:off x="3713480" y="32420560"/>
              <a:ext cx="685800" cy="29972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008000"/>
                  </a:solidFill>
                </a:rPr>
                <a:t>46.5</a:t>
              </a:r>
            </a:p>
          </xdr:txBody>
        </xdr:sp>
        <xdr:sp macro="" textlink="">
          <xdr:nvSpPr>
            <xdr:cNvPr id="35" name="ZoneTexte 34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 txBox="1"/>
          </xdr:nvSpPr>
          <xdr:spPr>
            <a:xfrm>
              <a:off x="8498840" y="31821120"/>
              <a:ext cx="68580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008000"/>
                  </a:solidFill>
                </a:rPr>
                <a:t>109.4</a:t>
              </a:r>
            </a:p>
          </xdr:txBody>
        </xdr:sp>
        <xdr:sp macro="" textlink="">
          <xdr:nvSpPr>
            <xdr:cNvPr id="37" name="ZoneTexte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 txBox="1"/>
          </xdr:nvSpPr>
          <xdr:spPr>
            <a:xfrm>
              <a:off x="3317240" y="30515560"/>
              <a:ext cx="670560" cy="294640"/>
            </a:xfrm>
            <a:prstGeom prst="rect">
              <a:avLst/>
            </a:prstGeom>
            <a:solidFill>
              <a:schemeClr val="lt1"/>
            </a:solidFill>
            <a:ln w="34925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ysClr val="windowText" lastClr="000000"/>
                  </a:solidFill>
                </a:rPr>
                <a:t>50%</a:t>
              </a:r>
            </a:p>
          </xdr:txBody>
        </xdr:sp>
        <xdr:sp macro="" textlink="">
          <xdr:nvSpPr>
            <xdr:cNvPr id="38" name="ZoneTexte 37">
              <a:extLs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SpPr txBox="1"/>
          </xdr:nvSpPr>
          <xdr:spPr>
            <a:xfrm>
              <a:off x="3368040" y="25460960"/>
              <a:ext cx="670560" cy="294640"/>
            </a:xfrm>
            <a:prstGeom prst="rect">
              <a:avLst/>
            </a:prstGeom>
            <a:solidFill>
              <a:schemeClr val="lt1"/>
            </a:solidFill>
            <a:ln w="34925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ysClr val="windowText" lastClr="000000"/>
                  </a:solidFill>
                </a:rPr>
                <a:t>2.5%</a:t>
              </a:r>
            </a:p>
          </xdr:txBody>
        </xdr:sp>
        <xdr:sp macro="" textlink="">
          <xdr:nvSpPr>
            <xdr:cNvPr id="39" name="ZoneTexte 38">
              <a:extLst>
                <a:ext uri="{FF2B5EF4-FFF2-40B4-BE49-F238E27FC236}">
                  <a16:creationId xmlns:a16="http://schemas.microsoft.com/office/drawing/2014/main" id="{00000000-0008-0000-0100-000027000000}"/>
                </a:ext>
              </a:extLst>
            </xdr:cNvPr>
            <xdr:cNvSpPr txBox="1"/>
          </xdr:nvSpPr>
          <xdr:spPr>
            <a:xfrm>
              <a:off x="4866640" y="27238960"/>
              <a:ext cx="685800" cy="294640"/>
            </a:xfrm>
            <a:prstGeom prst="rect">
              <a:avLst/>
            </a:prstGeom>
            <a:solidFill>
              <a:schemeClr val="lt1"/>
            </a:solidFill>
            <a:ln w="34925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ysClr val="windowText" lastClr="000000"/>
                  </a:solidFill>
                </a:rPr>
                <a:t>13.1%</a:t>
              </a:r>
            </a:p>
          </xdr:txBody>
        </xdr:sp>
        <xdr:sp macro="" textlink="">
          <xdr:nvSpPr>
            <xdr:cNvPr id="29" name="ZoneTexte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>
              <a:off x="756920" y="30805120"/>
              <a:ext cx="67056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0000FF"/>
                  </a:solidFill>
                </a:rPr>
                <a:t>23.5</a:t>
              </a:r>
            </a:p>
          </xdr:txBody>
        </xdr:sp>
        <xdr:sp macro="" textlink="">
          <xdr:nvSpPr>
            <xdr:cNvPr id="46" name="ZoneTexte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 txBox="1"/>
          </xdr:nvSpPr>
          <xdr:spPr>
            <a:xfrm>
              <a:off x="633041" y="25034462"/>
              <a:ext cx="67056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chemeClr val="accent6">
                      <a:lumMod val="75000"/>
                    </a:schemeClr>
                  </a:solidFill>
                </a:rPr>
                <a:t>0.973</a:t>
              </a:r>
            </a:p>
          </xdr:txBody>
        </xdr:sp>
        <xdr:sp macro="" textlink="">
          <xdr:nvSpPr>
            <xdr:cNvPr id="47" name="ZoneTexte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 txBox="1"/>
          </xdr:nvSpPr>
          <xdr:spPr>
            <a:xfrm>
              <a:off x="551015" y="26545888"/>
              <a:ext cx="67056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chemeClr val="accent6">
                      <a:lumMod val="75000"/>
                    </a:schemeClr>
                  </a:solidFill>
                </a:rPr>
                <a:t>1.025</a:t>
              </a:r>
            </a:p>
          </xdr:txBody>
        </xdr:sp>
      </xdr:grpSp>
      <xdr:cxnSp macro="">
        <xdr:nvCxnSpPr>
          <xdr:cNvPr id="42" name="Connecteur droit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CxnSpPr/>
        </xdr:nvCxnSpPr>
        <xdr:spPr>
          <a:xfrm rot="10800000">
            <a:off x="60960" y="32367220"/>
            <a:ext cx="3454400" cy="810260"/>
          </a:xfrm>
          <a:prstGeom prst="line">
            <a:avLst/>
          </a:prstGeom>
          <a:ln w="3492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Connecteur droit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CxnSpPr/>
        </xdr:nvCxnSpPr>
        <xdr:spPr>
          <a:xfrm rot="10800000">
            <a:off x="71120" y="28615640"/>
            <a:ext cx="4869180" cy="1054100"/>
          </a:xfrm>
          <a:prstGeom prst="line">
            <a:avLst/>
          </a:prstGeom>
          <a:ln w="3492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Connecteur droit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CxnSpPr/>
        </xdr:nvCxnSpPr>
        <xdr:spPr>
          <a:xfrm rot="10800000">
            <a:off x="0" y="26982420"/>
            <a:ext cx="4869180" cy="1061720"/>
          </a:xfrm>
          <a:prstGeom prst="line">
            <a:avLst/>
          </a:prstGeom>
          <a:ln w="3492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8" name="ZoneTexte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SpPr txBox="1"/>
        </xdr:nvSpPr>
        <xdr:spPr>
          <a:xfrm>
            <a:off x="655320" y="32146240"/>
            <a:ext cx="664459" cy="3182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400" b="1">
                <a:solidFill>
                  <a:schemeClr val="accent6">
                    <a:lumMod val="75000"/>
                  </a:schemeClr>
                </a:solidFill>
              </a:rPr>
              <a:t>1.174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</xdr:colOff>
      <xdr:row>60</xdr:row>
      <xdr:rowOff>60960</xdr:rowOff>
    </xdr:from>
    <xdr:to>
      <xdr:col>14</xdr:col>
      <xdr:colOff>723049</xdr:colOff>
      <xdr:row>193</xdr:row>
      <xdr:rowOff>132080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37" y="11988800"/>
          <a:ext cx="17304132" cy="24394160"/>
          <a:chOff x="10161" y="10358120"/>
          <a:chExt cx="17182248" cy="25407620"/>
        </a:xfrm>
      </xdr:grpSpPr>
      <xdr:grpSp>
        <xdr:nvGrpSpPr>
          <xdr:cNvPr id="3" name="Groupe 39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10161" y="10358120"/>
            <a:ext cx="17182248" cy="25407620"/>
            <a:chOff x="10161" y="9723120"/>
            <a:chExt cx="17309248" cy="23718520"/>
          </a:xfrm>
        </xdr:grpSpPr>
        <xdr:pic>
          <xdr:nvPicPr>
            <xdr:cNvPr id="8" name="Picture 1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161" y="9723120"/>
              <a:ext cx="17309248" cy="23718520"/>
            </a:xfrm>
            <a:prstGeom prst="rect">
              <a:avLst/>
            </a:prstGeom>
            <a:noFill/>
            <a:ln w="1">
              <a:noFill/>
              <a:miter lim="800000"/>
              <a:headEnd/>
              <a:tailEnd type="none" w="med" len="med"/>
            </a:ln>
            <a:effectLst/>
          </xdr:spPr>
        </xdr:pic>
        <xdr:cxnSp macro="">
          <xdr:nvCxnSpPr>
            <xdr:cNvPr id="9" name="Connecteur droit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CxnSpPr/>
          </xdr:nvCxnSpPr>
          <xdr:spPr>
            <a:xfrm rot="5400000" flipH="1" flipV="1">
              <a:off x="-6066970" y="22745722"/>
              <a:ext cx="20878800" cy="132080"/>
            </a:xfrm>
            <a:prstGeom prst="line">
              <a:avLst/>
            </a:prstGeom>
            <a:ln w="3492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Connecteur droit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:cNvPr>
            <xdr:cNvCxnSpPr/>
          </xdr:nvCxnSpPr>
          <xdr:spPr>
            <a:xfrm flipV="1">
              <a:off x="1691913" y="18159444"/>
              <a:ext cx="6212185" cy="949530"/>
            </a:xfrm>
            <a:prstGeom prst="line">
              <a:avLst/>
            </a:prstGeom>
            <a:ln w="3492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Connecteur droit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CxnSpPr/>
          </xdr:nvCxnSpPr>
          <xdr:spPr>
            <a:xfrm flipV="1">
              <a:off x="1498210" y="24047091"/>
              <a:ext cx="13922501" cy="1163322"/>
            </a:xfrm>
            <a:prstGeom prst="line">
              <a:avLst/>
            </a:prstGeom>
            <a:ln w="34925">
              <a:solidFill>
                <a:srgbClr val="0000F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Connecteur droit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 rot="16200000" flipH="1">
              <a:off x="-497713" y="15714303"/>
              <a:ext cx="16319446" cy="13701993"/>
            </a:xfrm>
            <a:prstGeom prst="line">
              <a:avLst/>
            </a:prstGeom>
            <a:ln w="44450">
              <a:solidFill>
                <a:srgbClr val="008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Connecteur droit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 rot="5400000" flipH="1" flipV="1">
              <a:off x="-1103061" y="22833217"/>
              <a:ext cx="20883880" cy="132080"/>
            </a:xfrm>
            <a:prstGeom prst="line">
              <a:avLst/>
            </a:prstGeom>
            <a:ln w="3492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Connecteur droit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 rot="16200000" flipH="1">
              <a:off x="1315720" y="29322811"/>
              <a:ext cx="3418840" cy="2870200"/>
            </a:xfrm>
            <a:prstGeom prst="line">
              <a:avLst/>
            </a:prstGeom>
            <a:ln w="44450">
              <a:solidFill>
                <a:srgbClr val="008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6" name="Ellipse 15">
              <a:extLst>
                <a:ext uri="{FF2B5EF4-FFF2-40B4-BE49-F238E27FC236}">
                  <a16:creationId xmlns:a16="http://schemas.microsoft.com/office/drawing/2014/main" id="{00000000-0008-0000-0200-000010000000}"/>
                </a:ext>
              </a:extLst>
            </xdr:cNvPr>
            <xdr:cNvSpPr/>
          </xdr:nvSpPr>
          <xdr:spPr>
            <a:xfrm>
              <a:off x="9151360" y="24361725"/>
              <a:ext cx="375920" cy="355600"/>
            </a:xfrm>
            <a:prstGeom prst="ellipse">
              <a:avLst/>
            </a:prstGeom>
            <a:noFill/>
            <a:ln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7" name="Ellipse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/>
          </xdr:nvSpPr>
          <xdr:spPr>
            <a:xfrm>
              <a:off x="2910831" y="30734563"/>
              <a:ext cx="386080" cy="355600"/>
            </a:xfrm>
            <a:prstGeom prst="ellipse">
              <a:avLst/>
            </a:prstGeom>
            <a:noFill/>
            <a:ln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8" name="Ellipse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/>
          </xdr:nvSpPr>
          <xdr:spPr>
            <a:xfrm>
              <a:off x="4215549" y="18513179"/>
              <a:ext cx="386080" cy="355600"/>
            </a:xfrm>
            <a:prstGeom prst="ellipse">
              <a:avLst/>
            </a:prstGeom>
            <a:noFill/>
            <a:ln>
              <a:solidFill>
                <a:srgbClr val="7030A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fr-FR" sz="1100"/>
            </a:p>
          </xdr:txBody>
        </xdr:sp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 txBox="1"/>
          </xdr:nvSpPr>
          <xdr:spPr>
            <a:xfrm>
              <a:off x="3962052" y="33054997"/>
              <a:ext cx="68072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FF0000"/>
                  </a:solidFill>
                </a:rPr>
                <a:t>15.7</a:t>
              </a:r>
            </a:p>
          </xdr:txBody>
        </xdr:sp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 txBox="1"/>
          </xdr:nvSpPr>
          <xdr:spPr>
            <a:xfrm>
              <a:off x="8954498" y="33055560"/>
              <a:ext cx="68580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FF0000"/>
                  </a:solidFill>
                </a:rPr>
                <a:t>44.8</a:t>
              </a:r>
            </a:p>
          </xdr:txBody>
        </xdr:sp>
        <xdr:sp macro="" textlink="">
          <xdr:nvSpPr>
            <xdr:cNvPr id="21" name="ZoneTexte 20"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 txBox="1"/>
          </xdr:nvSpPr>
          <xdr:spPr>
            <a:xfrm>
              <a:off x="899627" y="25022451"/>
              <a:ext cx="670560" cy="29972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0000FF"/>
                  </a:solidFill>
                </a:rPr>
                <a:t>95</a:t>
              </a:r>
            </a:p>
          </xdr:txBody>
        </xdr:sp>
        <xdr:sp macro="" textlink="">
          <xdr:nvSpPr>
            <xdr:cNvPr id="22" name="ZoneTexte 21"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SpPr txBox="1"/>
          </xdr:nvSpPr>
          <xdr:spPr>
            <a:xfrm>
              <a:off x="889155" y="18998637"/>
              <a:ext cx="67056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FF0000"/>
                  </a:solidFill>
                </a:rPr>
                <a:t>170</a:t>
              </a:r>
            </a:p>
          </xdr:txBody>
        </xdr:sp>
        <xdr:sp macro="" textlink="">
          <xdr:nvSpPr>
            <xdr:cNvPr id="23" name="ZoneTexte 2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 txBox="1"/>
          </xdr:nvSpPr>
          <xdr:spPr>
            <a:xfrm>
              <a:off x="3713480" y="32420560"/>
              <a:ext cx="685800" cy="29972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008000"/>
                  </a:solidFill>
                </a:rPr>
                <a:t>46.5</a:t>
              </a:r>
            </a:p>
          </xdr:txBody>
        </xdr:sp>
        <xdr:sp macro="" textlink="">
          <xdr:nvSpPr>
            <xdr:cNvPr id="24" name="ZoneTexte 23"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 txBox="1"/>
          </xdr:nvSpPr>
          <xdr:spPr>
            <a:xfrm>
              <a:off x="14281635" y="30853017"/>
              <a:ext cx="68580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008000"/>
                  </a:solidFill>
                </a:rPr>
                <a:t>214.9</a:t>
              </a:r>
            </a:p>
          </xdr:txBody>
        </xdr:sp>
        <xdr:sp macro="" textlink="">
          <xdr:nvSpPr>
            <xdr:cNvPr id="25" name="ZoneTexte 2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 txBox="1"/>
          </xdr:nvSpPr>
          <xdr:spPr>
            <a:xfrm>
              <a:off x="2297925" y="31039125"/>
              <a:ext cx="670560" cy="294640"/>
            </a:xfrm>
            <a:prstGeom prst="rect">
              <a:avLst/>
            </a:prstGeom>
            <a:solidFill>
              <a:schemeClr val="lt1"/>
            </a:solidFill>
            <a:ln w="34925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ysClr val="windowText" lastClr="000000"/>
                  </a:solidFill>
                </a:rPr>
                <a:t>50%</a:t>
              </a:r>
            </a:p>
          </xdr:txBody>
        </xdr:sp>
        <xdr:sp macro="" textlink="">
          <xdr:nvSpPr>
            <xdr:cNvPr id="26" name="ZoneTexte 25">
              <a:extLst>
                <a:ext uri="{FF2B5EF4-FFF2-40B4-BE49-F238E27FC236}">
                  <a16:creationId xmlns:a16="http://schemas.microsoft.com/office/drawing/2014/main" id="{00000000-0008-0000-0200-00001A000000}"/>
                </a:ext>
              </a:extLst>
            </xdr:cNvPr>
            <xdr:cNvSpPr txBox="1"/>
          </xdr:nvSpPr>
          <xdr:spPr>
            <a:xfrm>
              <a:off x="4612310" y="18298974"/>
              <a:ext cx="670560" cy="294640"/>
            </a:xfrm>
            <a:prstGeom prst="rect">
              <a:avLst/>
            </a:prstGeom>
            <a:solidFill>
              <a:schemeClr val="lt1"/>
            </a:solidFill>
            <a:ln w="34925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ysClr val="windowText" lastClr="000000"/>
                  </a:solidFill>
                </a:rPr>
                <a:t>&gt;0.3%</a:t>
              </a:r>
            </a:p>
          </xdr:txBody>
        </xdr:sp>
        <xdr:sp macro="" textlink="">
          <xdr:nvSpPr>
            <xdr:cNvPr id="28" name="ZoneTexte 27">
              <a:extLst>
                <a:ext uri="{FF2B5EF4-FFF2-40B4-BE49-F238E27FC236}">
                  <a16:creationId xmlns:a16="http://schemas.microsoft.com/office/drawing/2014/main" id="{00000000-0008-0000-0200-00001C000000}"/>
                </a:ext>
              </a:extLst>
            </xdr:cNvPr>
            <xdr:cNvSpPr txBox="1"/>
          </xdr:nvSpPr>
          <xdr:spPr>
            <a:xfrm>
              <a:off x="756920" y="30805120"/>
              <a:ext cx="670560" cy="294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0000FF"/>
                  </a:solidFill>
                </a:rPr>
                <a:t>23.5</a:t>
              </a:r>
            </a:p>
          </xdr:txBody>
        </xdr:sp>
        <xdr:cxnSp macro="">
          <xdr:nvCxnSpPr>
            <xdr:cNvPr id="12" name="Connecteur droit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CxnSpPr/>
          </xdr:nvCxnSpPr>
          <xdr:spPr>
            <a:xfrm flipV="1">
              <a:off x="1452881" y="30875588"/>
              <a:ext cx="4069865" cy="89396"/>
            </a:xfrm>
            <a:prstGeom prst="line">
              <a:avLst/>
            </a:prstGeom>
            <a:ln w="34925">
              <a:solidFill>
                <a:srgbClr val="0000FF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7" name="ZoneTexte 26">
              <a:extLst>
                <a:ext uri="{FF2B5EF4-FFF2-40B4-BE49-F238E27FC236}">
                  <a16:creationId xmlns:a16="http://schemas.microsoft.com/office/drawing/2014/main" id="{00000000-0008-0000-0200-00001B000000}"/>
                </a:ext>
              </a:extLst>
            </xdr:cNvPr>
            <xdr:cNvSpPr txBox="1"/>
          </xdr:nvSpPr>
          <xdr:spPr>
            <a:xfrm>
              <a:off x="9612681" y="24472952"/>
              <a:ext cx="685800" cy="294640"/>
            </a:xfrm>
            <a:prstGeom prst="rect">
              <a:avLst/>
            </a:prstGeom>
            <a:solidFill>
              <a:schemeClr val="lt1"/>
            </a:solidFill>
            <a:ln w="34925" cmpd="sng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ysClr val="windowText" lastClr="000000"/>
                  </a:solidFill>
                </a:rPr>
                <a:t>8%</a:t>
              </a:r>
            </a:p>
          </xdr:txBody>
        </xdr:sp>
        <xdr:sp macro="" textlink="">
          <xdr:nvSpPr>
            <xdr:cNvPr id="49" name="ZoneTexte 48">
              <a:extLs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SpPr txBox="1"/>
          </xdr:nvSpPr>
          <xdr:spPr>
            <a:xfrm>
              <a:off x="2537091" y="33045117"/>
              <a:ext cx="680720" cy="294640"/>
            </a:xfrm>
            <a:prstGeom prst="rect">
              <a:avLst/>
            </a:prstGeom>
            <a:solidFill>
              <a:schemeClr val="bg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algn="ctr"/>
              <a:r>
                <a:rPr lang="fr-FR" sz="1400" b="1">
                  <a:solidFill>
                    <a:srgbClr val="FF0000"/>
                  </a:solidFill>
                </a:rPr>
                <a:t>9.0</a:t>
              </a:r>
            </a:p>
          </xdr:txBody>
        </xdr:sp>
      </xdr:grpSp>
      <xdr:cxnSp macro="">
        <xdr:nvCxnSpPr>
          <xdr:cNvPr id="4" name="Connecteur droit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CxnSpPr/>
        </xdr:nvCxnSpPr>
        <xdr:spPr>
          <a:xfrm rot="10800000">
            <a:off x="60960" y="32360652"/>
            <a:ext cx="3454400" cy="810260"/>
          </a:xfrm>
          <a:prstGeom prst="line">
            <a:avLst/>
          </a:prstGeom>
          <a:ln w="3492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ZoneText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655320" y="32146240"/>
            <a:ext cx="664459" cy="3182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400" b="1">
                <a:solidFill>
                  <a:schemeClr val="accent6">
                    <a:lumMod val="75000"/>
                  </a:schemeClr>
                </a:solidFill>
              </a:rPr>
              <a:t>1.174</a:t>
            </a:r>
          </a:p>
        </xdr:txBody>
      </xdr:sp>
      <xdr:cxnSp macro="">
        <xdr:nvCxnSpPr>
          <xdr:cNvPr id="41" name="Connecteur droit 40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CxnSpPr/>
        </xdr:nvCxnSpPr>
        <xdr:spPr>
          <a:xfrm rot="10800000">
            <a:off x="19665" y="19044357"/>
            <a:ext cx="5508835" cy="1165697"/>
          </a:xfrm>
          <a:prstGeom prst="line">
            <a:avLst/>
          </a:prstGeom>
          <a:ln w="3492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" name="ZoneTexte 43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 txBox="1"/>
        </xdr:nvSpPr>
        <xdr:spPr>
          <a:xfrm>
            <a:off x="799868" y="19056184"/>
            <a:ext cx="664459" cy="3182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400" b="1">
                <a:solidFill>
                  <a:schemeClr val="accent6">
                    <a:lumMod val="75000"/>
                  </a:schemeClr>
                </a:solidFill>
              </a:rPr>
              <a:t>0.778</a:t>
            </a:r>
          </a:p>
        </xdr:txBody>
      </xdr:sp>
    </xdr:grpSp>
    <xdr:clientData/>
  </xdr:twoCellAnchor>
  <xdr:twoCellAnchor>
    <xdr:from>
      <xdr:col>2</xdr:col>
      <xdr:colOff>345440</xdr:colOff>
      <xdr:row>111</xdr:row>
      <xdr:rowOff>111760</xdr:rowOff>
    </xdr:from>
    <xdr:to>
      <xdr:col>3</xdr:col>
      <xdr:colOff>345440</xdr:colOff>
      <xdr:row>180</xdr:row>
      <xdr:rowOff>0</xdr:rowOff>
    </xdr:to>
    <xdr:cxnSp macro="">
      <xdr:nvCxnSpPr>
        <xdr:cNvPr id="46" name="Connecteur droit avec flèch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/>
      </xdr:nvCxnSpPr>
      <xdr:spPr>
        <a:xfrm rot="5400000" flipH="1" flipV="1">
          <a:off x="-2595880" y="27396440"/>
          <a:ext cx="12506960" cy="1178560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335280</xdr:colOff>
      <xdr:row>180</xdr:row>
      <xdr:rowOff>2540</xdr:rowOff>
    </xdr:from>
    <xdr:to>
      <xdr:col>2</xdr:col>
      <xdr:colOff>341630</xdr:colOff>
      <xdr:row>191</xdr:row>
      <xdr:rowOff>162560</xdr:rowOff>
    </xdr:to>
    <xdr:cxnSp macro="">
      <xdr:nvCxnSpPr>
        <xdr:cNvPr id="48" name="Connecteur droit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/>
      </xdr:nvCxnSpPr>
      <xdr:spPr>
        <a:xfrm rot="5400000" flipH="1" flipV="1">
          <a:off x="1975485" y="35324415"/>
          <a:ext cx="2171700" cy="63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1097280</xdr:colOff>
      <xdr:row>140</xdr:row>
      <xdr:rowOff>30480</xdr:rowOff>
    </xdr:from>
    <xdr:to>
      <xdr:col>9</xdr:col>
      <xdr:colOff>7620</xdr:colOff>
      <xdr:row>148</xdr:row>
      <xdr:rowOff>38100</xdr:rowOff>
    </xdr:to>
    <xdr:sp macro="" textlink="">
      <xdr:nvSpPr>
        <xdr:cNvPr id="33" name="Forme libr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7360920" y="26974800"/>
          <a:ext cx="3726180" cy="1470660"/>
        </a:xfrm>
        <a:custGeom>
          <a:avLst/>
          <a:gdLst>
            <a:gd name="connsiteX0" fmla="*/ 0 w 3726180"/>
            <a:gd name="connsiteY0" fmla="*/ 1470660 h 1470660"/>
            <a:gd name="connsiteX1" fmla="*/ 510540 w 3726180"/>
            <a:gd name="connsiteY1" fmla="*/ 1249680 h 1470660"/>
            <a:gd name="connsiteX2" fmla="*/ 1005840 w 3726180"/>
            <a:gd name="connsiteY2" fmla="*/ 1036320 h 1470660"/>
            <a:gd name="connsiteX3" fmla="*/ 1531620 w 3726180"/>
            <a:gd name="connsiteY3" fmla="*/ 815340 h 1470660"/>
            <a:gd name="connsiteX4" fmla="*/ 1783080 w 3726180"/>
            <a:gd name="connsiteY4" fmla="*/ 701040 h 1470660"/>
            <a:gd name="connsiteX5" fmla="*/ 2026920 w 3726180"/>
            <a:gd name="connsiteY5" fmla="*/ 617220 h 1470660"/>
            <a:gd name="connsiteX6" fmla="*/ 2697480 w 3726180"/>
            <a:gd name="connsiteY6" fmla="*/ 358140 h 1470660"/>
            <a:gd name="connsiteX7" fmla="*/ 3055620 w 3726180"/>
            <a:gd name="connsiteY7" fmla="*/ 243840 h 1470660"/>
            <a:gd name="connsiteX8" fmla="*/ 3726180 w 3726180"/>
            <a:gd name="connsiteY8" fmla="*/ 0 h 1470660"/>
            <a:gd name="connsiteX9" fmla="*/ 3726180 w 3726180"/>
            <a:gd name="connsiteY9" fmla="*/ 0 h 147066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726180" h="1470660">
              <a:moveTo>
                <a:pt x="0" y="1470660"/>
              </a:moveTo>
              <a:lnTo>
                <a:pt x="510540" y="1249680"/>
              </a:lnTo>
              <a:lnTo>
                <a:pt x="1005840" y="1036320"/>
              </a:lnTo>
              <a:lnTo>
                <a:pt x="1531620" y="815340"/>
              </a:lnTo>
              <a:cubicBezTo>
                <a:pt x="1661160" y="759460"/>
                <a:pt x="1700530" y="734060"/>
                <a:pt x="1783080" y="701040"/>
              </a:cubicBezTo>
              <a:cubicBezTo>
                <a:pt x="1865630" y="668020"/>
                <a:pt x="1874520" y="674370"/>
                <a:pt x="2026920" y="617220"/>
              </a:cubicBezTo>
              <a:cubicBezTo>
                <a:pt x="2179320" y="560070"/>
                <a:pt x="2526030" y="420370"/>
                <a:pt x="2697480" y="358140"/>
              </a:cubicBezTo>
              <a:cubicBezTo>
                <a:pt x="2868930" y="295910"/>
                <a:pt x="2884170" y="303530"/>
                <a:pt x="3055620" y="243840"/>
              </a:cubicBezTo>
              <a:cubicBezTo>
                <a:pt x="3227070" y="184150"/>
                <a:pt x="3726180" y="0"/>
                <a:pt x="3726180" y="0"/>
              </a:cubicBezTo>
              <a:lnTo>
                <a:pt x="3726180" y="0"/>
              </a:lnTo>
            </a:path>
          </a:pathLst>
        </a:custGeom>
        <a:ln w="31750">
          <a:solidFill>
            <a:srgbClr val="0000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568028</xdr:colOff>
      <xdr:row>1</xdr:row>
      <xdr:rowOff>250371</xdr:rowOff>
    </xdr:from>
    <xdr:to>
      <xdr:col>22</xdr:col>
      <xdr:colOff>85417</xdr:colOff>
      <xdr:row>36</xdr:row>
      <xdr:rowOff>200024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4298" t="11818" r="25053" b="23434"/>
        <a:stretch>
          <a:fillRect/>
        </a:stretch>
      </xdr:blipFill>
      <xdr:spPr bwMode="auto">
        <a:xfrm>
          <a:off x="12607628" y="250371"/>
          <a:ext cx="7423139" cy="675050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1771650</xdr:colOff>
      <xdr:row>13</xdr:row>
      <xdr:rowOff>50620</xdr:rowOff>
    </xdr:from>
    <xdr:to>
      <xdr:col>3</xdr:col>
      <xdr:colOff>862966</xdr:colOff>
      <xdr:row>16</xdr:row>
      <xdr:rowOff>109998</xdr:rowOff>
    </xdr:to>
    <xdr:pic>
      <xdr:nvPicPr>
        <xdr:cNvPr id="3" name="Picture 3" descr="http://www.zpag.net/Meteo/Messure/Images/Humidi48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10000"/>
        </a:blip>
        <a:srcRect/>
        <a:stretch>
          <a:fillRect/>
        </a:stretch>
      </xdr:blipFill>
      <xdr:spPr bwMode="auto">
        <a:xfrm>
          <a:off x="1933575" y="2660470"/>
          <a:ext cx="3834766" cy="62135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59868</xdr:colOff>
      <xdr:row>7</xdr:row>
      <xdr:rowOff>63955</xdr:rowOff>
    </xdr:from>
    <xdr:to>
      <xdr:col>5</xdr:col>
      <xdr:colOff>433508</xdr:colOff>
      <xdr:row>10</xdr:row>
      <xdr:rowOff>95250</xdr:rowOff>
    </xdr:to>
    <xdr:pic>
      <xdr:nvPicPr>
        <xdr:cNvPr id="4" name="Picture 5" descr="p_{sat} = 611,657 \cdot  \exp \left( 17,2799 - \left( \frac{4102,99}{(\vartheta+273,15)-35,719} \right) \right)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126793" y="1530805"/>
          <a:ext cx="4964690" cy="59327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95250</xdr:colOff>
      <xdr:row>4</xdr:row>
      <xdr:rowOff>120831</xdr:rowOff>
    </xdr:from>
    <xdr:to>
      <xdr:col>4</xdr:col>
      <xdr:colOff>285750</xdr:colOff>
      <xdr:row>5</xdr:row>
      <xdr:rowOff>196216</xdr:rowOff>
    </xdr:to>
    <xdr:pic>
      <xdr:nvPicPr>
        <xdr:cNvPr id="5" name="Picture 6" descr="\vartheta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859530" y="1225731"/>
          <a:ext cx="190500" cy="25064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304800</xdr:colOff>
      <xdr:row>56</xdr:row>
      <xdr:rowOff>81916</xdr:rowOff>
    </xdr:to>
    <xdr:sp macro="" textlink="">
      <xdr:nvSpPr>
        <xdr:cNvPr id="6" name="AutoShape 2" descr="\theta _{{h}}=-0,0023\times h_{{\theta ,Y}}^{2}+0,5955\times h_{{\theta ,Y}}-5,9859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385060" y="19011900"/>
          <a:ext cx="304800" cy="257176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1828801</xdr:colOff>
      <xdr:row>40</xdr:row>
      <xdr:rowOff>74839</xdr:rowOff>
    </xdr:from>
    <xdr:to>
      <xdr:col>5</xdr:col>
      <xdr:colOff>647701</xdr:colOff>
      <xdr:row>48</xdr:row>
      <xdr:rowOff>13097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l="12046" t="52868" r="64579" b="34435"/>
        <a:stretch>
          <a:fillRect/>
        </a:stretch>
      </xdr:blipFill>
      <xdr:spPr bwMode="auto">
        <a:xfrm>
          <a:off x="1990726" y="7809139"/>
          <a:ext cx="5314950" cy="13574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1809751</xdr:colOff>
      <xdr:row>19</xdr:row>
      <xdr:rowOff>99423</xdr:rowOff>
    </xdr:from>
    <xdr:to>
      <xdr:col>7</xdr:col>
      <xdr:colOff>579121</xdr:colOff>
      <xdr:row>24</xdr:row>
      <xdr:rowOff>117168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 l="22852" t="33656" r="44075" b="58736"/>
        <a:stretch>
          <a:fillRect/>
        </a:stretch>
      </xdr:blipFill>
      <xdr:spPr bwMode="auto">
        <a:xfrm>
          <a:off x="2602231" y="3889103"/>
          <a:ext cx="7009130" cy="9321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10</xdr:row>
      <xdr:rowOff>76200</xdr:rowOff>
    </xdr:from>
    <xdr:to>
      <xdr:col>13</xdr:col>
      <xdr:colOff>182880</xdr:colOff>
      <xdr:row>53</xdr:row>
      <xdr:rowOff>53340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ille\AppData\Local\Packages\Microsoft.MicrosoftEdge_8wekyb3d8bbwe\TempState\Downloads\Affaires\DRFH\D46309Z\Clim\Synthe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evés"/>
      <sheetName val="Evolution"/>
      <sheetName val="Schémas"/>
    </sheetNames>
    <sheetDataSet>
      <sheetData sheetId="0">
        <row r="10">
          <cell r="A10">
            <v>1</v>
          </cell>
          <cell r="B10" t="str">
            <v>CAMBRONNE</v>
          </cell>
          <cell r="C10" t="str">
            <v>CLIM INFO N°2</v>
          </cell>
          <cell r="E10">
            <v>21.6</v>
          </cell>
          <cell r="F10">
            <v>22.169159709010984</v>
          </cell>
          <cell r="G10">
            <v>15.8</v>
          </cell>
          <cell r="H10">
            <v>16.248361078115266</v>
          </cell>
          <cell r="I10">
            <v>69.099999999999994</v>
          </cell>
          <cell r="J10">
            <v>11.3</v>
          </cell>
          <cell r="K10">
            <v>51.021910720887689</v>
          </cell>
          <cell r="L10">
            <v>0.84967937691874762</v>
          </cell>
          <cell r="M10">
            <v>1.1769145246603145</v>
          </cell>
          <cell r="N10">
            <v>1878.553299492386</v>
          </cell>
          <cell r="O10">
            <v>2718.6010122899943</v>
          </cell>
          <cell r="P10">
            <v>99646.446700507615</v>
          </cell>
          <cell r="T10">
            <v>17.600000000000001</v>
          </cell>
          <cell r="U10">
            <v>18.309588669338865</v>
          </cell>
          <cell r="V10">
            <v>15.1</v>
          </cell>
          <cell r="W10">
            <v>15.529600225649318</v>
          </cell>
          <cell r="X10">
            <v>83.8</v>
          </cell>
          <cell r="Y10">
            <v>10.8</v>
          </cell>
          <cell r="Z10">
            <v>45.792116911815711</v>
          </cell>
          <cell r="AA10">
            <v>0.83544403559971359</v>
          </cell>
          <cell r="AB10">
            <v>1.1969682676376543</v>
          </cell>
          <cell r="AC10">
            <v>1799.2637434554972</v>
          </cell>
          <cell r="AD10">
            <v>2147.0927726199252</v>
          </cell>
          <cell r="AE10">
            <v>100025.73625654451</v>
          </cell>
          <cell r="AF10">
            <v>1.1000000000000001</v>
          </cell>
          <cell r="AG10">
            <v>12500</v>
          </cell>
          <cell r="AH10">
            <v>14962.103345470679</v>
          </cell>
          <cell r="AI10" t="str">
            <v xml:space="preserve">qm </v>
          </cell>
          <cell r="AK10">
            <v>-5.2297938090719782</v>
          </cell>
          <cell r="AL10">
            <v>4.1561398181862996</v>
          </cell>
          <cell r="AM10">
            <v>-21.735754290788247</v>
          </cell>
          <cell r="AO10">
            <v>12500</v>
          </cell>
          <cell r="AP10">
            <v>14000</v>
          </cell>
          <cell r="AQ10">
            <v>1500</v>
          </cell>
          <cell r="AR10">
            <v>-21.735754290788247</v>
          </cell>
          <cell r="AS10">
            <v>-76</v>
          </cell>
          <cell r="AT10">
            <v>-54.26424570921175</v>
          </cell>
        </row>
        <row r="11">
          <cell r="A11">
            <v>2</v>
          </cell>
          <cell r="B11" t="str">
            <v>CAMBRONNE</v>
          </cell>
          <cell r="C11" t="str">
            <v>CLIM INFO N°1</v>
          </cell>
          <cell r="E11">
            <v>22.2</v>
          </cell>
          <cell r="F11">
            <v>23.067435823784024</v>
          </cell>
          <cell r="G11">
            <v>16</v>
          </cell>
          <cell r="H11">
            <v>16.666693605172128</v>
          </cell>
          <cell r="I11">
            <v>67.2</v>
          </cell>
          <cell r="J11">
            <v>11.6</v>
          </cell>
          <cell r="K11">
            <v>52.707115966394014</v>
          </cell>
          <cell r="L11">
            <v>0.85266758287077893</v>
          </cell>
          <cell r="M11">
            <v>1.172789982976929</v>
          </cell>
          <cell r="N11">
            <v>1929.3741808650063</v>
          </cell>
          <cell r="O11">
            <v>2871.0925310491166</v>
          </cell>
          <cell r="P11">
            <v>99595.625819134992</v>
          </cell>
          <cell r="R11">
            <v>1000</v>
          </cell>
          <cell r="S11">
            <v>1172.789982976929</v>
          </cell>
          <cell r="T11">
            <v>18</v>
          </cell>
          <cell r="U11">
            <v>22.728637038519963</v>
          </cell>
          <cell r="V11">
            <v>16.399999999999999</v>
          </cell>
          <cell r="W11">
            <v>16.940488043186292</v>
          </cell>
          <cell r="X11">
            <v>69.8</v>
          </cell>
          <cell r="Y11">
            <v>11.8</v>
          </cell>
          <cell r="Z11">
            <v>52.867611048960882</v>
          </cell>
          <cell r="AA11">
            <v>0.84945111163956444</v>
          </cell>
          <cell r="AB11">
            <v>1.1772307862071711</v>
          </cell>
          <cell r="AC11">
            <v>1969.0839069157653</v>
          </cell>
          <cell r="AD11">
            <v>2821.0371159251654</v>
          </cell>
          <cell r="AE11">
            <v>99855.916093084234</v>
          </cell>
          <cell r="AG11">
            <v>9500</v>
          </cell>
          <cell r="AH11">
            <v>11183.692468968125</v>
          </cell>
          <cell r="AI11" t="str">
            <v xml:space="preserve">Ts qm qi Ev </v>
          </cell>
          <cell r="AK11">
            <v>0.16049508256686806</v>
          </cell>
          <cell r="AL11">
            <v>3.1065812413800349</v>
          </cell>
          <cell r="AM11">
            <v>0.49859101283597218</v>
          </cell>
          <cell r="AO11">
            <v>9500</v>
          </cell>
          <cell r="AQ11" t="str">
            <v/>
          </cell>
          <cell r="AR11">
            <v>0.49859101283597218</v>
          </cell>
          <cell r="AT11" t="str">
            <v/>
          </cell>
        </row>
        <row r="12">
          <cell r="A12">
            <v>3</v>
          </cell>
          <cell r="B12" t="str">
            <v>CAMBRONNE</v>
          </cell>
          <cell r="C12" t="str">
            <v>CLIM ONDULEUR N°1</v>
          </cell>
          <cell r="E12">
            <v>21</v>
          </cell>
          <cell r="F12">
            <v>21.457003845242554</v>
          </cell>
          <cell r="G12">
            <v>13</v>
          </cell>
          <cell r="H12">
            <v>13.518111466521219</v>
          </cell>
          <cell r="I12">
            <v>60.5</v>
          </cell>
          <cell r="J12">
            <v>9.5</v>
          </cell>
          <cell r="K12">
            <v>45.718275880163546</v>
          </cell>
          <cell r="L12">
            <v>0.84522121159749375</v>
          </cell>
          <cell r="M12">
            <v>1.183122224429235</v>
          </cell>
          <cell r="N12">
            <v>1574.6734693877549</v>
          </cell>
          <cell r="O12">
            <v>2602.7660651037272</v>
          </cell>
          <cell r="P12">
            <v>99950.326530612248</v>
          </cell>
          <cell r="Q12">
            <v>3.3</v>
          </cell>
          <cell r="R12">
            <v>4400</v>
          </cell>
          <cell r="S12">
            <v>5205.7377874886342</v>
          </cell>
          <cell r="T12">
            <v>21.8</v>
          </cell>
          <cell r="U12">
            <v>22.289204863073707</v>
          </cell>
          <cell r="V12">
            <v>13</v>
          </cell>
          <cell r="W12">
            <v>13.518111466521219</v>
          </cell>
          <cell r="X12">
            <v>57.5</v>
          </cell>
          <cell r="Y12">
            <v>9.5</v>
          </cell>
          <cell r="Z12">
            <v>46.569937918796683</v>
          </cell>
          <cell r="AA12">
            <v>0.84511152707522064</v>
          </cell>
          <cell r="AB12">
            <v>1.1832757783588879</v>
          </cell>
          <cell r="AC12">
            <v>1579.3265306122451</v>
          </cell>
          <cell r="AD12">
            <v>2746.6548358473824</v>
          </cell>
          <cell r="AE12">
            <v>100245.67346938775</v>
          </cell>
          <cell r="AF12">
            <v>8.1</v>
          </cell>
          <cell r="AG12">
            <v>5100</v>
          </cell>
          <cell r="AH12">
            <v>6034.7064696303278</v>
          </cell>
          <cell r="AI12" t="str">
            <v xml:space="preserve">qm qi Ev </v>
          </cell>
          <cell r="AK12">
            <v>0.85166203863313683</v>
          </cell>
          <cell r="AL12">
            <v>1.6763073526750911</v>
          </cell>
          <cell r="AM12">
            <v>1.4276473373549847</v>
          </cell>
          <cell r="AO12">
            <v>5100</v>
          </cell>
          <cell r="AQ12" t="str">
            <v/>
          </cell>
          <cell r="AR12">
            <v>1.4276473373549847</v>
          </cell>
          <cell r="AT12" t="str">
            <v/>
          </cell>
        </row>
        <row r="13">
          <cell r="A13">
            <v>4</v>
          </cell>
          <cell r="B13" t="str">
            <v>CAMBRONNE</v>
          </cell>
          <cell r="C13" t="str">
            <v>CLIM ONDULEUR N°2</v>
          </cell>
          <cell r="E13">
            <v>20.399999999999999</v>
          </cell>
          <cell r="F13">
            <v>20.422639938204583</v>
          </cell>
          <cell r="G13">
            <v>12.7</v>
          </cell>
          <cell r="H13">
            <v>13.187964036180858</v>
          </cell>
          <cell r="I13">
            <v>63.1</v>
          </cell>
          <cell r="J13">
            <v>9.3000000000000007</v>
          </cell>
          <cell r="K13">
            <v>44.152048686942123</v>
          </cell>
          <cell r="L13">
            <v>0.84198689660861903</v>
          </cell>
          <cell r="M13">
            <v>1.1876669387942154</v>
          </cell>
          <cell r="N13">
            <v>1541.0192590174636</v>
          </cell>
          <cell r="O13">
            <v>2442.1858304555681</v>
          </cell>
          <cell r="P13">
            <v>99983.98074098253</v>
          </cell>
          <cell r="Q13">
            <v>2.5</v>
          </cell>
          <cell r="R13">
            <v>5700</v>
          </cell>
          <cell r="S13">
            <v>6769.7015511270274</v>
          </cell>
          <cell r="T13">
            <v>15.9</v>
          </cell>
          <cell r="U13">
            <v>16.038687725089346</v>
          </cell>
          <cell r="V13">
            <v>11.8</v>
          </cell>
          <cell r="W13">
            <v>12.15956791012897</v>
          </cell>
          <cell r="X13">
            <v>77.7</v>
          </cell>
          <cell r="Y13">
            <v>8.6999999999999993</v>
          </cell>
          <cell r="Z13">
            <v>38.148971798711031</v>
          </cell>
          <cell r="AA13">
            <v>0.8261838023944037</v>
          </cell>
          <cell r="AB13">
            <v>1.2103844170048494</v>
          </cell>
          <cell r="AC13">
            <v>1444.4439915212781</v>
          </cell>
          <cell r="AD13">
            <v>1859.0012760891611</v>
          </cell>
          <cell r="AE13">
            <v>100380.55600847873</v>
          </cell>
          <cell r="AF13">
            <v>5</v>
          </cell>
          <cell r="AG13">
            <v>4000</v>
          </cell>
          <cell r="AH13">
            <v>4841.5376680193976</v>
          </cell>
          <cell r="AI13" t="str">
            <v xml:space="preserve">qm qi </v>
          </cell>
          <cell r="AK13">
            <v>-6.0030768882310923</v>
          </cell>
          <cell r="AL13">
            <v>1.3448715744498327</v>
          </cell>
          <cell r="AM13">
            <v>-8.0733674662187518</v>
          </cell>
          <cell r="AO13">
            <v>4000</v>
          </cell>
          <cell r="AP13">
            <v>5000</v>
          </cell>
          <cell r="AQ13">
            <v>1000</v>
          </cell>
          <cell r="AR13">
            <v>-8.0733674662187518</v>
          </cell>
          <cell r="AS13">
            <v>-15</v>
          </cell>
          <cell r="AT13">
            <v>-6.9266325337812482</v>
          </cell>
        </row>
        <row r="14">
          <cell r="A14">
            <v>5</v>
          </cell>
          <cell r="B14" t="str">
            <v>CAMBRONNE</v>
          </cell>
          <cell r="C14" t="str">
            <v>CTA BUREAUX</v>
          </cell>
          <cell r="E14">
            <v>13</v>
          </cell>
          <cell r="F14">
            <v>13.993613567446886</v>
          </cell>
          <cell r="G14">
            <v>11.4</v>
          </cell>
          <cell r="H14">
            <v>11.80320085882741</v>
          </cell>
          <cell r="I14">
            <v>86.6</v>
          </cell>
          <cell r="J14">
            <v>8.5</v>
          </cell>
          <cell r="K14">
            <v>35.553745907893202</v>
          </cell>
          <cell r="L14">
            <v>0.82250437688181155</v>
          </cell>
          <cell r="M14">
            <v>1.2157990013270086</v>
          </cell>
          <cell r="N14">
            <v>1406.6218418907906</v>
          </cell>
          <cell r="O14">
            <v>1624.2746442156936</v>
          </cell>
          <cell r="P14">
            <v>100118.3781581092</v>
          </cell>
          <cell r="Q14">
            <v>4</v>
          </cell>
          <cell r="R14">
            <v>10350</v>
          </cell>
          <cell r="S14">
            <v>12583.519663734538</v>
          </cell>
          <cell r="T14">
            <v>15</v>
          </cell>
          <cell r="U14">
            <v>15.200249212026648</v>
          </cell>
          <cell r="V14">
            <v>11.7</v>
          </cell>
          <cell r="W14">
            <v>12.15956791012897</v>
          </cell>
          <cell r="X14">
            <v>82</v>
          </cell>
          <cell r="Y14">
            <v>8.6999999999999993</v>
          </cell>
          <cell r="Z14">
            <v>37.292153875003478</v>
          </cell>
          <cell r="AA14">
            <v>0.82378846554964247</v>
          </cell>
          <cell r="AB14">
            <v>1.2139038622406384</v>
          </cell>
          <cell r="AC14">
            <v>1444.4439915212781</v>
          </cell>
          <cell r="AD14">
            <v>1761.5170628308272</v>
          </cell>
          <cell r="AE14">
            <v>100380.55600847873</v>
          </cell>
          <cell r="AF14">
            <v>2</v>
          </cell>
          <cell r="AG14">
            <v>10000</v>
          </cell>
          <cell r="AH14">
            <v>12139.038622406384</v>
          </cell>
          <cell r="AI14" t="str">
            <v xml:space="preserve">Ev </v>
          </cell>
          <cell r="AK14">
            <v>1.7384079671102768</v>
          </cell>
          <cell r="AL14">
            <v>3.371955172890662</v>
          </cell>
          <cell r="AM14">
            <v>5.8618337372918381</v>
          </cell>
          <cell r="AO14">
            <v>10000</v>
          </cell>
          <cell r="AP14">
            <v>10575</v>
          </cell>
          <cell r="AQ14">
            <v>575</v>
          </cell>
          <cell r="AR14">
            <v>5.8618337372918381</v>
          </cell>
          <cell r="AS14">
            <v>-400</v>
          </cell>
          <cell r="AT14">
            <v>-405.86183373729182</v>
          </cell>
        </row>
        <row r="15">
          <cell r="A15">
            <v>6</v>
          </cell>
          <cell r="B15" t="str">
            <v>COTENTIN</v>
          </cell>
          <cell r="C15" t="str">
            <v>ETRALIC CLIM N° 1</v>
          </cell>
          <cell r="E15">
            <v>20.5</v>
          </cell>
          <cell r="F15">
            <v>21.232678628741127</v>
          </cell>
          <cell r="G15">
            <v>11.7</v>
          </cell>
          <cell r="H15">
            <v>12.159567910129027</v>
          </cell>
          <cell r="I15">
            <v>56.1</v>
          </cell>
          <cell r="J15">
            <v>8.6999999999999993</v>
          </cell>
          <cell r="K15">
            <v>43.456820176961763</v>
          </cell>
          <cell r="L15">
            <v>0.84350769526557468</v>
          </cell>
          <cell r="M15">
            <v>1.1855256396744009</v>
          </cell>
          <cell r="N15">
            <v>1440.1883254524701</v>
          </cell>
          <cell r="O15">
            <v>2567.1806157798042</v>
          </cell>
          <cell r="P15">
            <v>100084.81167454753</v>
          </cell>
          <cell r="Q15">
            <v>3.8</v>
          </cell>
          <cell r="R15">
            <v>7500</v>
          </cell>
          <cell r="S15">
            <v>8891.4422975580073</v>
          </cell>
          <cell r="T15">
            <v>19</v>
          </cell>
          <cell r="U15">
            <v>21.492613943283231</v>
          </cell>
          <cell r="V15">
            <v>12</v>
          </cell>
          <cell r="W15">
            <v>12.50895846599434</v>
          </cell>
          <cell r="X15">
            <v>56.5</v>
          </cell>
          <cell r="Y15">
            <v>8.9</v>
          </cell>
          <cell r="Z15">
            <v>44.230519830237185</v>
          </cell>
          <cell r="AA15">
            <v>0.84203206672335529</v>
          </cell>
          <cell r="AB15">
            <v>1.1876032273822466</v>
          </cell>
          <cell r="AC15">
            <v>1478.1316261621268</v>
          </cell>
          <cell r="AD15">
            <v>2616.1621701984545</v>
          </cell>
          <cell r="AE15">
            <v>100346.86837383787</v>
          </cell>
          <cell r="AF15">
            <v>5.5</v>
          </cell>
          <cell r="AG15">
            <v>2300</v>
          </cell>
          <cell r="AH15">
            <v>2731.4874229791671</v>
          </cell>
          <cell r="AI15" t="str">
            <v xml:space="preserve">Ts qm qi Ev </v>
          </cell>
          <cell r="AK15">
            <v>0.77369965327542189</v>
          </cell>
          <cell r="AL15">
            <v>0.75874650638310204</v>
          </cell>
          <cell r="AM15">
            <v>0.58704190891254371</v>
          </cell>
          <cell r="AO15">
            <v>2300</v>
          </cell>
          <cell r="AP15">
            <v>4000</v>
          </cell>
          <cell r="AQ15">
            <v>1700</v>
          </cell>
          <cell r="AR15">
            <v>0.58704190891254371</v>
          </cell>
          <cell r="AS15">
            <v>-19.2</v>
          </cell>
          <cell r="AT15">
            <v>-19.787041908912542</v>
          </cell>
        </row>
        <row r="16">
          <cell r="A16">
            <v>7</v>
          </cell>
          <cell r="B16" t="str">
            <v>COTENTIN</v>
          </cell>
          <cell r="C16" t="str">
            <v>ETRALIC CLIM N° 2</v>
          </cell>
          <cell r="E16">
            <v>19.8</v>
          </cell>
          <cell r="F16">
            <v>20.973831037120021</v>
          </cell>
          <cell r="G16">
            <v>11.8</v>
          </cell>
          <cell r="H16">
            <v>12.159567910129027</v>
          </cell>
          <cell r="I16">
            <v>57</v>
          </cell>
          <cell r="J16">
            <v>8.6999999999999993</v>
          </cell>
          <cell r="K16">
            <v>43.19229838728473</v>
          </cell>
          <cell r="L16">
            <v>0.84276600782509603</v>
          </cell>
          <cell r="M16">
            <v>1.186568977290237</v>
          </cell>
          <cell r="N16">
            <v>1440.1883254524701</v>
          </cell>
          <cell r="O16">
            <v>2526.6461850043338</v>
          </cell>
          <cell r="P16">
            <v>100084.81167454753</v>
          </cell>
          <cell r="Q16">
            <v>2.5</v>
          </cell>
          <cell r="R16">
            <v>5600</v>
          </cell>
          <cell r="S16">
            <v>6644.7862728253276</v>
          </cell>
          <cell r="T16">
            <v>15.8</v>
          </cell>
          <cell r="U16">
            <v>17.76243673589056</v>
          </cell>
          <cell r="V16">
            <v>11.2</v>
          </cell>
          <cell r="W16">
            <v>11.622304099047881</v>
          </cell>
          <cell r="X16">
            <v>67.2</v>
          </cell>
          <cell r="Y16">
            <v>8.4</v>
          </cell>
          <cell r="Z16">
            <v>39.150455533810018</v>
          </cell>
          <cell r="AA16">
            <v>0.83071305811507168</v>
          </cell>
          <cell r="AB16">
            <v>1.2037850979122064</v>
          </cell>
          <cell r="AC16">
            <v>1393.95371577575</v>
          </cell>
          <cell r="AD16">
            <v>2074.3358865710561</v>
          </cell>
          <cell r="AE16">
            <v>100431.04628422426</v>
          </cell>
          <cell r="AF16">
            <v>7.7</v>
          </cell>
          <cell r="AG16">
            <v>2500</v>
          </cell>
          <cell r="AH16">
            <v>3009.462744780516</v>
          </cell>
          <cell r="AI16" t="str">
            <v xml:space="preserve">qm qi </v>
          </cell>
          <cell r="AK16">
            <v>-4.0418428534747122</v>
          </cell>
          <cell r="AL16">
            <v>0.83596187355014329</v>
          </cell>
          <cell r="AM16">
            <v>-3.3788265243859779</v>
          </cell>
          <cell r="AO16">
            <v>2500</v>
          </cell>
          <cell r="AP16">
            <v>4000</v>
          </cell>
          <cell r="AQ16">
            <v>1500</v>
          </cell>
          <cell r="AR16">
            <v>-3.3788265243859779</v>
          </cell>
          <cell r="AS16">
            <v>-19.2</v>
          </cell>
          <cell r="AT16">
            <v>-15.821173475614021</v>
          </cell>
        </row>
        <row r="17">
          <cell r="A17">
            <v>8</v>
          </cell>
          <cell r="B17" t="str">
            <v>COTENTIN</v>
          </cell>
          <cell r="C17" t="str">
            <v>PRT CLIM N°1</v>
          </cell>
          <cell r="E17">
            <v>19.7</v>
          </cell>
          <cell r="F17">
            <v>20.251205796265651</v>
          </cell>
          <cell r="G17">
            <v>11.7</v>
          </cell>
          <cell r="H17">
            <v>12.159567910129027</v>
          </cell>
          <cell r="I17">
            <v>59.6</v>
          </cell>
          <cell r="J17">
            <v>8.6999999999999993</v>
          </cell>
          <cell r="K17">
            <v>42.453832478525584</v>
          </cell>
          <cell r="L17">
            <v>0.84069543779599953</v>
          </cell>
          <cell r="M17">
            <v>1.1894914079962651</v>
          </cell>
          <cell r="N17">
            <v>1440.1883254524701</v>
          </cell>
          <cell r="O17">
            <v>2416.4233648531376</v>
          </cell>
          <cell r="P17">
            <v>100084.81167454753</v>
          </cell>
          <cell r="Q17">
            <v>2.27</v>
          </cell>
          <cell r="R17">
            <v>12000</v>
          </cell>
          <cell r="S17">
            <v>14273.89689595518</v>
          </cell>
          <cell r="T17">
            <v>18</v>
          </cell>
          <cell r="U17">
            <v>19.409159816890593</v>
          </cell>
          <cell r="V17">
            <v>11.7</v>
          </cell>
          <cell r="W17">
            <v>12.15956791012897</v>
          </cell>
          <cell r="X17">
            <v>62.8</v>
          </cell>
          <cell r="Y17">
            <v>8.6999999999999993</v>
          </cell>
          <cell r="Z17">
            <v>41.59332800923665</v>
          </cell>
          <cell r="AA17">
            <v>0.83581291157766369</v>
          </cell>
          <cell r="AB17">
            <v>1.1964400000861677</v>
          </cell>
          <cell r="AC17">
            <v>1444.4439915212781</v>
          </cell>
          <cell r="AD17">
            <v>2300.0700501931183</v>
          </cell>
          <cell r="AE17">
            <v>100380.55600847873</v>
          </cell>
          <cell r="AF17">
            <v>2</v>
          </cell>
          <cell r="AG17">
            <v>11000</v>
          </cell>
          <cell r="AH17">
            <v>13160.840000947845</v>
          </cell>
          <cell r="AI17" t="str">
            <v xml:space="preserve">qi Ev </v>
          </cell>
          <cell r="AK17">
            <v>-0.86050446928893365</v>
          </cell>
          <cell r="AL17">
            <v>3.6557888891521793</v>
          </cell>
          <cell r="AM17">
            <v>-3.1458226778922764</v>
          </cell>
          <cell r="AO17">
            <v>11000</v>
          </cell>
          <cell r="AP17">
            <v>17000</v>
          </cell>
          <cell r="AQ17">
            <v>6000</v>
          </cell>
          <cell r="AR17">
            <v>-3.1458226778922764</v>
          </cell>
          <cell r="AS17">
            <v>-70</v>
          </cell>
          <cell r="AT17">
            <v>-66.854177322107716</v>
          </cell>
        </row>
        <row r="18">
          <cell r="A18">
            <v>9</v>
          </cell>
          <cell r="B18" t="str">
            <v>COTENTIN</v>
          </cell>
          <cell r="C18" t="str">
            <v>PRT CLIM N°2</v>
          </cell>
          <cell r="E18">
            <v>19.3</v>
          </cell>
          <cell r="F18">
            <v>19.745271219476052</v>
          </cell>
          <cell r="G18">
            <v>11.7</v>
          </cell>
          <cell r="H18">
            <v>12.159567910129027</v>
          </cell>
          <cell r="I18">
            <v>61.5</v>
          </cell>
          <cell r="J18">
            <v>8.6999999999999993</v>
          </cell>
          <cell r="K18">
            <v>41.936807309878191</v>
          </cell>
          <cell r="L18">
            <v>0.83924576110030946</v>
          </cell>
          <cell r="M18">
            <v>1.1915460838180827</v>
          </cell>
          <cell r="N18">
            <v>1440.1883254524701</v>
          </cell>
          <cell r="O18">
            <v>2341.7696348820655</v>
          </cell>
          <cell r="P18">
            <v>100084.81167454753</v>
          </cell>
          <cell r="Q18">
            <v>3.9</v>
          </cell>
          <cell r="R18">
            <v>16000</v>
          </cell>
          <cell r="S18">
            <v>19064.737341089323</v>
          </cell>
          <cell r="T18">
            <v>14.3</v>
          </cell>
          <cell r="U18">
            <v>17.359243647053461</v>
          </cell>
          <cell r="V18">
            <v>11.6</v>
          </cell>
          <cell r="W18">
            <v>11.982275530217265</v>
          </cell>
          <cell r="X18">
            <v>70.599999999999994</v>
          </cell>
          <cell r="Y18">
            <v>8.6</v>
          </cell>
          <cell r="Z18">
            <v>39.245198885453107</v>
          </cell>
          <cell r="AA18">
            <v>0.82982490861946512</v>
          </cell>
          <cell r="AB18">
            <v>1.2050734915437114</v>
          </cell>
          <cell r="AC18">
            <v>1427.6084121291165</v>
          </cell>
          <cell r="AD18">
            <v>2022.1082324775023</v>
          </cell>
          <cell r="AE18">
            <v>100397.39158787088</v>
          </cell>
          <cell r="AF18">
            <v>13</v>
          </cell>
          <cell r="AG18">
            <v>15000</v>
          </cell>
          <cell r="AH18">
            <v>18076.102373155671</v>
          </cell>
          <cell r="AI18" t="str">
            <v xml:space="preserve">Ts </v>
          </cell>
          <cell r="AK18">
            <v>-2.691608424425084</v>
          </cell>
          <cell r="AL18">
            <v>5.0211395480987973</v>
          </cell>
          <cell r="AM18">
            <v>-13.514941507876681</v>
          </cell>
          <cell r="AO18">
            <v>15000</v>
          </cell>
          <cell r="AP18">
            <v>17000</v>
          </cell>
          <cell r="AQ18">
            <v>2000</v>
          </cell>
          <cell r="AR18">
            <v>-13.514941507876681</v>
          </cell>
          <cell r="AS18">
            <v>-70</v>
          </cell>
          <cell r="AT18">
            <v>-56.485058492123315</v>
          </cell>
        </row>
        <row r="19">
          <cell r="A19">
            <v>10</v>
          </cell>
          <cell r="B19" t="str">
            <v>COTENTIN</v>
          </cell>
          <cell r="C19" t="str">
            <v>PRT CLIM N°3</v>
          </cell>
          <cell r="E19">
            <v>20.2</v>
          </cell>
          <cell r="F19">
            <v>20.945355243661879</v>
          </cell>
          <cell r="G19">
            <v>11.7</v>
          </cell>
          <cell r="H19">
            <v>12.159567910129027</v>
          </cell>
          <cell r="I19">
            <v>57.1</v>
          </cell>
          <cell r="J19">
            <v>8.6999999999999993</v>
          </cell>
          <cell r="K19">
            <v>43.163198375958189</v>
          </cell>
          <cell r="L19">
            <v>0.84268441487600465</v>
          </cell>
          <cell r="M19">
            <v>1.1866838668745801</v>
          </cell>
          <cell r="N19">
            <v>1440.1883254524701</v>
          </cell>
          <cell r="O19">
            <v>2522.2212354684239</v>
          </cell>
          <cell r="P19">
            <v>100084.81167454753</v>
          </cell>
          <cell r="Q19">
            <v>2.09</v>
          </cell>
          <cell r="R19">
            <v>12000</v>
          </cell>
          <cell r="S19">
            <v>14240.206402494961</v>
          </cell>
          <cell r="T19">
            <v>17.899999999999999</v>
          </cell>
          <cell r="U19">
            <v>19.055859070628117</v>
          </cell>
          <cell r="V19">
            <v>11.7</v>
          </cell>
          <cell r="W19">
            <v>12.15956791012897</v>
          </cell>
          <cell r="X19">
            <v>64.2</v>
          </cell>
          <cell r="Y19">
            <v>8.6999999999999993</v>
          </cell>
          <cell r="Z19">
            <v>41.232282557315358</v>
          </cell>
          <cell r="AA19">
            <v>0.83480356589325233</v>
          </cell>
          <cell r="AB19">
            <v>1.1978865937521301</v>
          </cell>
          <cell r="AC19">
            <v>1444.4439915212781</v>
          </cell>
          <cell r="AD19">
            <v>2249.9127593789381</v>
          </cell>
          <cell r="AE19">
            <v>100380.55600847873</v>
          </cell>
          <cell r="AF19">
            <v>13</v>
          </cell>
          <cell r="AG19">
            <v>11900</v>
          </cell>
          <cell r="AH19">
            <v>14254.850465650348</v>
          </cell>
          <cell r="AI19" t="str">
            <v xml:space="preserve">qi Ev </v>
          </cell>
          <cell r="AK19">
            <v>-1.9309158186428306</v>
          </cell>
          <cell r="AL19">
            <v>3.9596806849028745</v>
          </cell>
          <cell r="AM19">
            <v>-7.6458100712534378</v>
          </cell>
          <cell r="AO19">
            <v>11900</v>
          </cell>
          <cell r="AP19">
            <v>17000</v>
          </cell>
          <cell r="AQ19">
            <v>5100</v>
          </cell>
          <cell r="AR19">
            <v>-7.6458100712534378</v>
          </cell>
          <cell r="AS19">
            <v>-70</v>
          </cell>
          <cell r="AT19">
            <v>-62.354189928746564</v>
          </cell>
        </row>
        <row r="20">
          <cell r="A20">
            <v>11</v>
          </cell>
          <cell r="B20" t="str">
            <v>COTENTIN</v>
          </cell>
          <cell r="C20" t="str">
            <v>ONDULEUR CLIM N°1</v>
          </cell>
          <cell r="E20">
            <v>22.2</v>
          </cell>
          <cell r="F20">
            <v>23.571677049920993</v>
          </cell>
          <cell r="G20">
            <v>12.9</v>
          </cell>
          <cell r="H20">
            <v>13.518111466521219</v>
          </cell>
          <cell r="I20">
            <v>53.2</v>
          </cell>
          <cell r="J20">
            <v>9.5</v>
          </cell>
          <cell r="K20">
            <v>47.882400717733397</v>
          </cell>
          <cell r="L20">
            <v>0.85128816392673967</v>
          </cell>
          <cell r="M20">
            <v>1.1746903602973837</v>
          </cell>
          <cell r="N20">
            <v>1574.6734693877554</v>
          </cell>
          <cell r="O20">
            <v>2959.9125364431488</v>
          </cell>
          <cell r="P20">
            <v>99950.326530612248</v>
          </cell>
          <cell r="Q20">
            <v>5.6</v>
          </cell>
          <cell r="R20">
            <v>12600</v>
          </cell>
          <cell r="S20">
            <v>14801.098539747034</v>
          </cell>
          <cell r="T20">
            <v>23</v>
          </cell>
          <cell r="U20">
            <v>23.63415237010696</v>
          </cell>
          <cell r="V20">
            <v>13</v>
          </cell>
          <cell r="W20">
            <v>13.518111466521219</v>
          </cell>
          <cell r="X20">
            <v>53</v>
          </cell>
          <cell r="Y20">
            <v>9.5</v>
          </cell>
          <cell r="Z20">
            <v>47.946337023281913</v>
          </cell>
          <cell r="AA20">
            <v>0.84895878438838501</v>
          </cell>
          <cell r="AB20">
            <v>1.1779134845991723</v>
          </cell>
          <cell r="AC20">
            <v>1579.3265306122451</v>
          </cell>
          <cell r="AD20">
            <v>2979.8613785136695</v>
          </cell>
          <cell r="AE20">
            <v>100245.67346938775</v>
          </cell>
          <cell r="AG20">
            <v>2400</v>
          </cell>
          <cell r="AH20">
            <v>2826.9923630380135</v>
          </cell>
          <cell r="AI20" t="str">
            <v xml:space="preserve">qm qi Ev </v>
          </cell>
          <cell r="AK20">
            <v>6.3936305548516259E-2</v>
          </cell>
          <cell r="AL20">
            <v>0.78527565639944819</v>
          </cell>
          <cell r="AM20">
            <v>5.0207624307366784E-2</v>
          </cell>
          <cell r="AO20">
            <v>2400</v>
          </cell>
          <cell r="AP20">
            <v>15000</v>
          </cell>
          <cell r="AQ20">
            <v>12600</v>
          </cell>
          <cell r="AR20">
            <v>5.0207624307366784E-2</v>
          </cell>
          <cell r="AS20">
            <v>-38</v>
          </cell>
          <cell r="AT20">
            <v>-38.050207624307369</v>
          </cell>
        </row>
        <row r="21">
          <cell r="A21">
            <v>12</v>
          </cell>
          <cell r="B21" t="str">
            <v>COTENTIN</v>
          </cell>
          <cell r="C21" t="str">
            <v>ONDULEUR CLIM N°2</v>
          </cell>
          <cell r="E21">
            <v>24.7</v>
          </cell>
          <cell r="F21">
            <v>24.917024305201636</v>
          </cell>
          <cell r="G21">
            <v>13.4</v>
          </cell>
          <cell r="H21">
            <v>13.680954828813128</v>
          </cell>
          <cell r="I21">
            <v>49.6</v>
          </cell>
          <cell r="J21">
            <v>9.6</v>
          </cell>
          <cell r="K21">
            <v>49.51386873402663</v>
          </cell>
          <cell r="L21">
            <v>0.85528335186308291</v>
          </cell>
          <cell r="M21">
            <v>1.1692031626965234</v>
          </cell>
          <cell r="N21">
            <v>1591.508817766166</v>
          </cell>
          <cell r="O21">
            <v>3208.6871325930765</v>
          </cell>
          <cell r="P21">
            <v>99933.491182233833</v>
          </cell>
          <cell r="Q21">
            <v>2.4300000000000002</v>
          </cell>
          <cell r="R21">
            <v>9000</v>
          </cell>
          <cell r="S21">
            <v>10522.82846426871</v>
          </cell>
          <cell r="T21">
            <v>17.2</v>
          </cell>
          <cell r="U21">
            <v>18.832726045056489</v>
          </cell>
          <cell r="V21">
            <v>12.6</v>
          </cell>
          <cell r="W21">
            <v>13.020599431983129</v>
          </cell>
          <cell r="X21">
            <v>68.900000000000006</v>
          </cell>
          <cell r="Y21">
            <v>9.1999999999999993</v>
          </cell>
          <cell r="Z21">
            <v>42.271990177021401</v>
          </cell>
          <cell r="AA21">
            <v>0.83482739846321607</v>
          </cell>
          <cell r="AB21">
            <v>1.1978523966041847</v>
          </cell>
          <cell r="AC21">
            <v>1528.7043080939945</v>
          </cell>
          <cell r="AD21">
            <v>2218.7290393236494</v>
          </cell>
          <cell r="AE21">
            <v>100296.29569190601</v>
          </cell>
          <cell r="AF21">
            <v>2.7</v>
          </cell>
          <cell r="AG21">
            <v>2700</v>
          </cell>
          <cell r="AH21">
            <v>3234.2014708312986</v>
          </cell>
          <cell r="AI21" t="str">
            <v xml:space="preserve">qm qi </v>
          </cell>
          <cell r="AK21">
            <v>-7.2418785570052293</v>
          </cell>
          <cell r="AL21">
            <v>0.89838929745313845</v>
          </cell>
          <cell r="AM21">
            <v>-6.5060261890688764</v>
          </cell>
          <cell r="AO21">
            <v>2700</v>
          </cell>
          <cell r="AP21">
            <v>15000</v>
          </cell>
          <cell r="AQ21">
            <v>12300</v>
          </cell>
          <cell r="AR21">
            <v>-6.5060261890688764</v>
          </cell>
          <cell r="AS21">
            <v>-38</v>
          </cell>
          <cell r="AT21">
            <v>-31.493973810931124</v>
          </cell>
        </row>
        <row r="22">
          <cell r="A22">
            <v>13</v>
          </cell>
          <cell r="B22" t="str">
            <v>COTENTIN</v>
          </cell>
          <cell r="C22" t="str">
            <v>ONDULEUR CLIM N°3</v>
          </cell>
          <cell r="E22">
            <v>21.8</v>
          </cell>
          <cell r="F22">
            <v>22.03582245979382</v>
          </cell>
          <cell r="G22">
            <v>12.3</v>
          </cell>
          <cell r="H22">
            <v>12.851665621062722</v>
          </cell>
          <cell r="I22">
            <v>55.9</v>
          </cell>
          <cell r="J22">
            <v>9.1</v>
          </cell>
          <cell r="K22">
            <v>45.294099945975532</v>
          </cell>
          <cell r="L22">
            <v>0.84634540431401462</v>
          </cell>
          <cell r="M22">
            <v>1.1815506941997593</v>
          </cell>
          <cell r="N22">
            <v>1507.3870125632241</v>
          </cell>
          <cell r="O22">
            <v>2696.5778400057679</v>
          </cell>
          <cell r="P22">
            <v>100017.61298743678</v>
          </cell>
          <cell r="Q22">
            <v>4.0999999999999996</v>
          </cell>
          <cell r="R22">
            <v>12300</v>
          </cell>
          <cell r="S22">
            <v>14533.07353865704</v>
          </cell>
          <cell r="T22">
            <v>18</v>
          </cell>
          <cell r="U22">
            <v>22.280775675377839</v>
          </cell>
          <cell r="V22">
            <v>12.7</v>
          </cell>
          <cell r="W22">
            <v>13.187964036180801</v>
          </cell>
          <cell r="X22">
            <v>56.3</v>
          </cell>
          <cell r="Y22">
            <v>9.3000000000000007</v>
          </cell>
          <cell r="Z22">
            <v>46.052956850649366</v>
          </cell>
          <cell r="AA22">
            <v>0.84481977069429282</v>
          </cell>
          <cell r="AB22">
            <v>1.1836844196699805</v>
          </cell>
          <cell r="AC22">
            <v>1545.5728741635385</v>
          </cell>
          <cell r="AD22">
            <v>2745.2448919423418</v>
          </cell>
          <cell r="AE22">
            <v>100279.42712583646</v>
          </cell>
          <cell r="AF22">
            <v>6.6</v>
          </cell>
          <cell r="AG22">
            <v>7000</v>
          </cell>
          <cell r="AH22">
            <v>8285.7909376898642</v>
          </cell>
          <cell r="AI22" t="str">
            <v xml:space="preserve">Ts qm qi Ev </v>
          </cell>
          <cell r="AK22">
            <v>0.75885690467383426</v>
          </cell>
          <cell r="AL22">
            <v>2.3016085938027402</v>
          </cell>
          <cell r="AM22">
            <v>1.7465915732638437</v>
          </cell>
          <cell r="AO22">
            <v>7000</v>
          </cell>
          <cell r="AP22">
            <v>15000</v>
          </cell>
          <cell r="AQ22">
            <v>8000</v>
          </cell>
          <cell r="AR22">
            <v>1.7465915732638437</v>
          </cell>
          <cell r="AS22">
            <v>-38</v>
          </cell>
          <cell r="AT22">
            <v>-39.746591573263842</v>
          </cell>
        </row>
        <row r="23">
          <cell r="A23">
            <v>14</v>
          </cell>
          <cell r="B23" t="str">
            <v>COTENTIN</v>
          </cell>
          <cell r="C23" t="str">
            <v>ONDULEUR CLIM N°4</v>
          </cell>
          <cell r="E23">
            <v>20.399999999999999</v>
          </cell>
          <cell r="F23">
            <v>20.569921124511694</v>
          </cell>
          <cell r="G23">
            <v>12</v>
          </cell>
          <cell r="H23">
            <v>12.508958465994453</v>
          </cell>
          <cell r="I23">
            <v>59.8</v>
          </cell>
          <cell r="J23">
            <v>8.9</v>
          </cell>
          <cell r="K23">
            <v>43.287262956613688</v>
          </cell>
          <cell r="L23">
            <v>0.84187554772758888</v>
          </cell>
          <cell r="M23">
            <v>1.1878240230390638</v>
          </cell>
          <cell r="N23">
            <v>1473.7767085304192</v>
          </cell>
          <cell r="O23">
            <v>2464.5095460374905</v>
          </cell>
          <cell r="P23">
            <v>100051.22329146958</v>
          </cell>
          <cell r="Q23">
            <v>2.99</v>
          </cell>
          <cell r="R23">
            <v>6200</v>
          </cell>
          <cell r="S23">
            <v>7364.5089428421952</v>
          </cell>
          <cell r="T23">
            <v>17.3</v>
          </cell>
          <cell r="U23">
            <v>17.430296482588489</v>
          </cell>
          <cell r="V23">
            <v>12.2</v>
          </cell>
          <cell r="W23">
            <v>12.681129889002136</v>
          </cell>
          <cell r="X23">
            <v>73.599999999999994</v>
          </cell>
          <cell r="Y23">
            <v>9</v>
          </cell>
          <cell r="Z23">
            <v>40.330955244552257</v>
          </cell>
          <cell r="AA23">
            <v>0.83055436782927539</v>
          </cell>
          <cell r="AB23">
            <v>1.2040150997141648</v>
          </cell>
          <cell r="AC23">
            <v>1494.9836867862969</v>
          </cell>
          <cell r="AD23">
            <v>2031.2278353074689</v>
          </cell>
          <cell r="AE23">
            <v>100330.01631321371</v>
          </cell>
          <cell r="AF23">
            <v>6.9</v>
          </cell>
          <cell r="AG23">
            <v>5500</v>
          </cell>
          <cell r="AH23">
            <v>6622.0830484279059</v>
          </cell>
          <cell r="AI23" t="str">
            <v xml:space="preserve">qm qi Ev </v>
          </cell>
          <cell r="AK23">
            <v>-2.9563077120614309</v>
          </cell>
          <cell r="AL23">
            <v>1.8394675134521961</v>
          </cell>
          <cell r="AM23">
            <v>-5.4380319961051908</v>
          </cell>
          <cell r="AO23">
            <v>5500</v>
          </cell>
          <cell r="AP23">
            <v>15000</v>
          </cell>
          <cell r="AQ23">
            <v>9500</v>
          </cell>
          <cell r="AR23">
            <v>-5.4380319961051908</v>
          </cell>
          <cell r="AS23">
            <v>-38</v>
          </cell>
          <cell r="AT23">
            <v>-32.561968003894812</v>
          </cell>
        </row>
        <row r="24">
          <cell r="A24">
            <v>15</v>
          </cell>
          <cell r="B24" t="str">
            <v>COTENTIN</v>
          </cell>
          <cell r="C24" t="str">
            <v>UNISAM 1 CLIM N°1</v>
          </cell>
          <cell r="E24">
            <v>20.6</v>
          </cell>
          <cell r="F24">
            <v>19.221172051817121</v>
          </cell>
          <cell r="G24">
            <v>11.5</v>
          </cell>
          <cell r="H24">
            <v>11.982275530217322</v>
          </cell>
          <cell r="I24">
            <v>62.8</v>
          </cell>
          <cell r="J24">
            <v>8.6</v>
          </cell>
          <cell r="K24">
            <v>41.147601889879518</v>
          </cell>
          <cell r="L24">
            <v>0.83761120894224872</v>
          </cell>
          <cell r="M24">
            <v>1.1938713203979432</v>
          </cell>
          <cell r="N24">
            <v>1423.4023475709162</v>
          </cell>
          <cell r="O24">
            <v>2266.5642477243891</v>
          </cell>
          <cell r="P24">
            <v>100101.59765242909</v>
          </cell>
          <cell r="Q24">
            <v>4.0999999999999996</v>
          </cell>
          <cell r="R24">
            <v>13000</v>
          </cell>
          <cell r="S24">
            <v>15520.327165173261</v>
          </cell>
          <cell r="T24">
            <v>18</v>
          </cell>
          <cell r="U24">
            <v>18.11877908824647</v>
          </cell>
          <cell r="V24">
            <v>11.3</v>
          </cell>
          <cell r="W24">
            <v>11.80320085882741</v>
          </cell>
          <cell r="X24">
            <v>66.5</v>
          </cell>
          <cell r="Y24">
            <v>8.5</v>
          </cell>
          <cell r="Z24">
            <v>39.767829371493619</v>
          </cell>
          <cell r="AA24">
            <v>0.83186254609212762</v>
          </cell>
          <cell r="AB24">
            <v>1.2021216782721353</v>
          </cell>
          <cell r="AC24">
            <v>1410.7783211083943</v>
          </cell>
          <cell r="AD24">
            <v>2121.4711595614954</v>
          </cell>
          <cell r="AE24">
            <v>100414.22167889161</v>
          </cell>
          <cell r="AF24">
            <v>8</v>
          </cell>
          <cell r="AG24">
            <v>12800</v>
          </cell>
          <cell r="AH24">
            <v>15387.157481883332</v>
          </cell>
          <cell r="AI24" t="str">
            <v/>
          </cell>
          <cell r="AK24">
            <v>-1.3797725183858986</v>
          </cell>
          <cell r="AL24">
            <v>4.2742104116342592</v>
          </cell>
          <cell r="AM24">
            <v>-5.8974380637718307</v>
          </cell>
          <cell r="AO24">
            <v>12800</v>
          </cell>
          <cell r="AP24">
            <v>14000</v>
          </cell>
          <cell r="AQ24">
            <v>1200</v>
          </cell>
          <cell r="AR24">
            <v>-5.8974380637718307</v>
          </cell>
          <cell r="AS24">
            <v>-52</v>
          </cell>
          <cell r="AT24">
            <v>-46.10256193622817</v>
          </cell>
        </row>
        <row r="25">
          <cell r="A25">
            <v>16</v>
          </cell>
          <cell r="B25" t="str">
            <v>COTENTIN</v>
          </cell>
          <cell r="C25" t="str">
            <v>UNISAM 1 CLIM RESEAUX</v>
          </cell>
          <cell r="E25">
            <v>18.2</v>
          </cell>
          <cell r="F25">
            <v>20.712655695246468</v>
          </cell>
          <cell r="G25">
            <v>11.8</v>
          </cell>
          <cell r="H25">
            <v>12.335116480469196</v>
          </cell>
          <cell r="I25">
            <v>58.6</v>
          </cell>
          <cell r="J25">
            <v>8.8000000000000007</v>
          </cell>
          <cell r="K25">
            <v>43.179288236734195</v>
          </cell>
          <cell r="L25">
            <v>0.84215115583513278</v>
          </cell>
          <cell r="M25">
            <v>1.1874352876810266</v>
          </cell>
          <cell r="N25">
            <v>1456.9797782126545</v>
          </cell>
          <cell r="O25">
            <v>2486.3136146973629</v>
          </cell>
          <cell r="P25">
            <v>100068.02022178734</v>
          </cell>
          <cell r="Q25">
            <v>1.79</v>
          </cell>
          <cell r="R25">
            <v>13300</v>
          </cell>
          <cell r="S25">
            <v>15792.889326157654</v>
          </cell>
          <cell r="T25">
            <v>15</v>
          </cell>
          <cell r="U25">
            <v>14.675489940692785</v>
          </cell>
          <cell r="V25">
            <v>10.8</v>
          </cell>
          <cell r="W25">
            <v>11.068262283406767</v>
          </cell>
          <cell r="X25">
            <v>78.900000000000006</v>
          </cell>
          <cell r="Y25">
            <v>8.1</v>
          </cell>
          <cell r="Z25">
            <v>35.23917766772783</v>
          </cell>
          <cell r="AA25">
            <v>0.82150701615961164</v>
          </cell>
          <cell r="AB25">
            <v>1.2172750570954451</v>
          </cell>
          <cell r="AC25">
            <v>1343.5127870988761</v>
          </cell>
          <cell r="AD25">
            <v>1702.804546386408</v>
          </cell>
          <cell r="AE25">
            <v>100481.48721290112</v>
          </cell>
          <cell r="AF25">
            <v>2.11</v>
          </cell>
          <cell r="AG25">
            <v>8800</v>
          </cell>
          <cell r="AH25">
            <v>10712.020502439917</v>
          </cell>
          <cell r="AI25" t="str">
            <v xml:space="preserve">Ts qm qi </v>
          </cell>
          <cell r="AK25">
            <v>-7.9401105690063645</v>
          </cell>
          <cell r="AL25">
            <v>2.9755612506777545</v>
          </cell>
          <cell r="AM25">
            <v>-23.626285335232236</v>
          </cell>
          <cell r="AO25">
            <v>8800</v>
          </cell>
          <cell r="AP25">
            <v>14000</v>
          </cell>
          <cell r="AQ25">
            <v>5200</v>
          </cell>
          <cell r="AR25">
            <v>-23.626285335232236</v>
          </cell>
          <cell r="AS25">
            <v>-52</v>
          </cell>
          <cell r="AT25">
            <v>-28.373714664767764</v>
          </cell>
        </row>
        <row r="26">
          <cell r="A26">
            <v>17</v>
          </cell>
          <cell r="B26" t="str">
            <v>COTENTIN</v>
          </cell>
          <cell r="C26" t="str">
            <v>UNISAM 1 CLIM N°2</v>
          </cell>
          <cell r="E26">
            <v>20.3</v>
          </cell>
          <cell r="F26">
            <v>19.615057540704413</v>
          </cell>
          <cell r="G26">
            <v>11.7</v>
          </cell>
          <cell r="H26">
            <v>12.159567910129027</v>
          </cell>
          <cell r="I26">
            <v>62</v>
          </cell>
          <cell r="J26">
            <v>8.6999999999999993</v>
          </cell>
          <cell r="K26">
            <v>41.803739217054193</v>
          </cell>
          <cell r="L26">
            <v>0.83887265409352363</v>
          </cell>
          <cell r="M26">
            <v>1.1920760500657741</v>
          </cell>
          <cell r="N26">
            <v>1440.1883254524701</v>
          </cell>
          <cell r="O26">
            <v>2322.8843958910811</v>
          </cell>
          <cell r="P26">
            <v>100084.81167454753</v>
          </cell>
          <cell r="Q26">
            <v>2.2999999999999998</v>
          </cell>
          <cell r="R26">
            <v>16400</v>
          </cell>
          <cell r="S26">
            <v>19550.047221078694</v>
          </cell>
          <cell r="T26">
            <v>14.7</v>
          </cell>
          <cell r="U26">
            <v>14.797612855738436</v>
          </cell>
          <cell r="V26">
            <v>10.6</v>
          </cell>
          <cell r="W26">
            <v>10.879650679262681</v>
          </cell>
          <cell r="X26">
            <v>77.3</v>
          </cell>
          <cell r="Y26">
            <v>8</v>
          </cell>
          <cell r="Z26">
            <v>35.111035585080877</v>
          </cell>
          <cell r="AA26">
            <v>0.8217251449128985</v>
          </cell>
          <cell r="AB26">
            <v>1.2169519287449799</v>
          </cell>
          <cell r="AC26">
            <v>1326.7100977198697</v>
          </cell>
          <cell r="AD26">
            <v>1716.3131923931046</v>
          </cell>
          <cell r="AE26">
            <v>100498.28990228013</v>
          </cell>
          <cell r="AF26">
            <v>3</v>
          </cell>
          <cell r="AG26">
            <v>15000</v>
          </cell>
          <cell r="AH26">
            <v>18254.2789311747</v>
          </cell>
          <cell r="AI26" t="str">
            <v/>
          </cell>
          <cell r="AK26">
            <v>-6.6927036319733162</v>
          </cell>
          <cell r="AL26">
            <v>5.0706330364374166</v>
          </cell>
          <cell r="AM26">
            <v>-33.936244139368583</v>
          </cell>
          <cell r="AO26">
            <v>15000</v>
          </cell>
          <cell r="AP26">
            <v>14000</v>
          </cell>
          <cell r="AQ26">
            <v>-1000</v>
          </cell>
          <cell r="AR26">
            <v>-33.936244139368583</v>
          </cell>
          <cell r="AS26">
            <v>-52</v>
          </cell>
          <cell r="AT26">
            <v>-18.063755860631417</v>
          </cell>
        </row>
        <row r="27">
          <cell r="A27">
            <v>18</v>
          </cell>
          <cell r="B27" t="str">
            <v>COTENTIN</v>
          </cell>
          <cell r="C27" t="str">
            <v>UNISAM 2 CLIM  N°2</v>
          </cell>
          <cell r="E27">
            <v>21.1</v>
          </cell>
          <cell r="F27">
            <v>21.305749640403008</v>
          </cell>
          <cell r="G27">
            <v>11.8</v>
          </cell>
          <cell r="H27">
            <v>12.335116480469196</v>
          </cell>
          <cell r="I27">
            <v>56.5</v>
          </cell>
          <cell r="J27">
            <v>8.8000000000000007</v>
          </cell>
          <cell r="K27">
            <v>43.785491930454477</v>
          </cell>
          <cell r="L27">
            <v>0.84385084356935913</v>
          </cell>
          <cell r="M27">
            <v>1.1850435507893242</v>
          </cell>
          <cell r="N27">
            <v>1456.9797782126545</v>
          </cell>
          <cell r="O27">
            <v>2578.7252711728402</v>
          </cell>
          <cell r="P27">
            <v>100068.02022178734</v>
          </cell>
          <cell r="Q27">
            <v>3.6</v>
          </cell>
          <cell r="R27">
            <v>18120</v>
          </cell>
          <cell r="S27">
            <v>21472.989140302554</v>
          </cell>
          <cell r="T27">
            <v>18.2</v>
          </cell>
          <cell r="U27">
            <v>19.409159816890593</v>
          </cell>
          <cell r="V27">
            <v>11.7</v>
          </cell>
          <cell r="W27">
            <v>12.15956791012897</v>
          </cell>
          <cell r="X27">
            <v>62.8</v>
          </cell>
          <cell r="Y27">
            <v>8.6999999999999993</v>
          </cell>
          <cell r="Z27">
            <v>41.59332800923665</v>
          </cell>
          <cell r="AA27">
            <v>0.83581291157766369</v>
          </cell>
          <cell r="AB27">
            <v>1.1964400000861677</v>
          </cell>
          <cell r="AC27">
            <v>1444.4439915212781</v>
          </cell>
          <cell r="AD27">
            <v>2300.0700501931183</v>
          </cell>
          <cell r="AE27">
            <v>100380.55600847873</v>
          </cell>
          <cell r="AF27">
            <v>15.3</v>
          </cell>
          <cell r="AG27">
            <v>15900</v>
          </cell>
          <cell r="AH27">
            <v>19023.396001370067</v>
          </cell>
          <cell r="AI27" t="str">
            <v xml:space="preserve">qm qi </v>
          </cell>
          <cell r="AK27">
            <v>-2.1921639212178263</v>
          </cell>
          <cell r="AL27">
            <v>5.2842766670472407</v>
          </cell>
          <cell r="AM27">
            <v>-11.584000659234146</v>
          </cell>
          <cell r="AO27">
            <v>15900</v>
          </cell>
          <cell r="AP27">
            <v>20000</v>
          </cell>
          <cell r="AQ27">
            <v>4100</v>
          </cell>
          <cell r="AR27">
            <v>-11.584000659234146</v>
          </cell>
          <cell r="AS27">
            <v>-85</v>
          </cell>
          <cell r="AT27">
            <v>-73.41599934076585</v>
          </cell>
        </row>
        <row r="28">
          <cell r="A28">
            <v>19</v>
          </cell>
          <cell r="B28" t="str">
            <v>COTENTIN</v>
          </cell>
          <cell r="C28" t="str">
            <v>UNISAM 2 CLIM N°3</v>
          </cell>
          <cell r="E28">
            <v>19.2</v>
          </cell>
          <cell r="F28">
            <v>19.850304914149518</v>
          </cell>
          <cell r="G28">
            <v>11.8</v>
          </cell>
          <cell r="H28">
            <v>12.159567910129027</v>
          </cell>
          <cell r="I28">
            <v>61.1</v>
          </cell>
          <cell r="J28">
            <v>8.6999999999999993</v>
          </cell>
          <cell r="K28">
            <v>42.044143448172591</v>
          </cell>
          <cell r="L28">
            <v>0.83954671878617582</v>
          </cell>
          <cell r="M28">
            <v>1.1911189426668345</v>
          </cell>
          <cell r="N28">
            <v>1440.1883254524701</v>
          </cell>
          <cell r="O28">
            <v>2357.1003689893128</v>
          </cell>
          <cell r="P28">
            <v>100084.81167454753</v>
          </cell>
          <cell r="Q28">
            <v>3.7</v>
          </cell>
          <cell r="R28">
            <v>19800</v>
          </cell>
          <cell r="S28">
            <v>23584.155064803323</v>
          </cell>
          <cell r="T28">
            <v>16</v>
          </cell>
          <cell r="U28">
            <v>18.115724169751928</v>
          </cell>
          <cell r="V28">
            <v>11.7</v>
          </cell>
          <cell r="W28">
            <v>12.15956791012897</v>
          </cell>
          <cell r="X28">
            <v>68.099999999999994</v>
          </cell>
          <cell r="Y28">
            <v>8.6999999999999993</v>
          </cell>
          <cell r="Z28">
            <v>40.271538959277059</v>
          </cell>
          <cell r="AA28">
            <v>0.83211769241293165</v>
          </cell>
          <cell r="AB28">
            <v>1.2017530802647063</v>
          </cell>
          <cell r="AC28">
            <v>1444.4439915212781</v>
          </cell>
          <cell r="AD28">
            <v>2121.063129987193</v>
          </cell>
          <cell r="AE28">
            <v>100380.55600847873</v>
          </cell>
          <cell r="AF28">
            <v>15.3</v>
          </cell>
          <cell r="AG28">
            <v>15000</v>
          </cell>
          <cell r="AH28">
            <v>18026.296203970593</v>
          </cell>
          <cell r="AI28" t="str">
            <v xml:space="preserve">Ts qm qi Ev </v>
          </cell>
          <cell r="AK28">
            <v>-1.7726044888955315</v>
          </cell>
          <cell r="AL28">
            <v>5.0073045011029427</v>
          </cell>
          <cell r="AM28">
            <v>-8.8759704359218752</v>
          </cell>
          <cell r="AO28">
            <v>15000</v>
          </cell>
          <cell r="AP28">
            <v>20000</v>
          </cell>
          <cell r="AQ28">
            <v>5000</v>
          </cell>
          <cell r="AR28">
            <v>-8.8759704359218752</v>
          </cell>
          <cell r="AS28">
            <v>-85</v>
          </cell>
          <cell r="AT28">
            <v>-76.124029564078128</v>
          </cell>
        </row>
        <row r="29">
          <cell r="A29">
            <v>20</v>
          </cell>
          <cell r="B29" t="str">
            <v>COTENTIN</v>
          </cell>
          <cell r="C29" t="str">
            <v>SDM AC 01</v>
          </cell>
          <cell r="E29">
            <v>27.2</v>
          </cell>
          <cell r="F29">
            <v>27.168238647189554</v>
          </cell>
          <cell r="G29">
            <v>15.3</v>
          </cell>
          <cell r="H29">
            <v>15.675592708973568</v>
          </cell>
          <cell r="I29">
            <v>49.4</v>
          </cell>
          <cell r="J29">
            <v>10.9</v>
          </cell>
          <cell r="K29">
            <v>55.134072935368181</v>
          </cell>
          <cell r="L29">
            <v>0.86351675589981058</v>
          </cell>
          <cell r="M29">
            <v>1.1580551195650741</v>
          </cell>
          <cell r="N29">
            <v>1810.8697430862378</v>
          </cell>
          <cell r="O29">
            <v>3665.7282248709271</v>
          </cell>
          <cell r="P29">
            <v>99714.130256913762</v>
          </cell>
          <cell r="Q29">
            <v>3.4</v>
          </cell>
          <cell r="R29">
            <v>15876</v>
          </cell>
          <cell r="S29">
            <v>18385.283078215118</v>
          </cell>
          <cell r="T29">
            <v>21</v>
          </cell>
          <cell r="U29">
            <v>25.333000625050573</v>
          </cell>
          <cell r="V29">
            <v>14.7</v>
          </cell>
          <cell r="W29">
            <v>15.084583813109589</v>
          </cell>
          <cell r="X29">
            <v>53</v>
          </cell>
          <cell r="Y29">
            <v>10.5</v>
          </cell>
          <cell r="Z29">
            <v>52.232272235811223</v>
          </cell>
          <cell r="AA29">
            <v>0.8551704321065422</v>
          </cell>
          <cell r="AB29">
            <v>1.1693575484558079</v>
          </cell>
          <cell r="AC29">
            <v>1748.426001635323</v>
          </cell>
          <cell r="AD29">
            <v>3298.9169842175907</v>
          </cell>
          <cell r="AE29">
            <v>100076.57399836468</v>
          </cell>
          <cell r="AF29">
            <v>3.9</v>
          </cell>
          <cell r="AG29">
            <v>16780</v>
          </cell>
          <cell r="AH29">
            <v>19621.819663088456</v>
          </cell>
          <cell r="AI29" t="str">
            <v xml:space="preserve">Ts qi </v>
          </cell>
          <cell r="AK29">
            <v>-2.9018006995569579</v>
          </cell>
          <cell r="AL29">
            <v>5.4505054619690156</v>
          </cell>
          <cell r="AM29">
            <v>-15.81628056248071</v>
          </cell>
          <cell r="AO29">
            <v>16780</v>
          </cell>
          <cell r="AP29">
            <v>21000</v>
          </cell>
          <cell r="AQ29">
            <v>4220</v>
          </cell>
          <cell r="AR29">
            <v>-15.81628056248071</v>
          </cell>
          <cell r="AS29">
            <v>-49</v>
          </cell>
          <cell r="AT29">
            <v>-33.183719437519287</v>
          </cell>
        </row>
        <row r="30">
          <cell r="A30">
            <v>21</v>
          </cell>
          <cell r="B30" t="str">
            <v>COTENTIN</v>
          </cell>
          <cell r="C30" t="str">
            <v>SDM AC02</v>
          </cell>
          <cell r="E30">
            <v>24.5</v>
          </cell>
          <cell r="F30">
            <v>25.029171830431352</v>
          </cell>
          <cell r="G30">
            <v>14.2</v>
          </cell>
          <cell r="H30">
            <v>14.628559512146012</v>
          </cell>
          <cell r="I30">
            <v>52.4</v>
          </cell>
          <cell r="J30">
            <v>10.199999999999999</v>
          </cell>
          <cell r="K30">
            <v>51.156741382800774</v>
          </cell>
          <cell r="L30">
            <v>0.85641794947220951</v>
          </cell>
          <cell r="M30">
            <v>1.16765418171849</v>
          </cell>
          <cell r="N30">
            <v>1692.6364825106243</v>
          </cell>
          <cell r="O30">
            <v>3230.222294867604</v>
          </cell>
          <cell r="P30">
            <v>99832.363517489372</v>
          </cell>
          <cell r="Q30">
            <v>2.23</v>
          </cell>
          <cell r="R30">
            <v>10432</v>
          </cell>
          <cell r="S30">
            <v>12180.968423687287</v>
          </cell>
          <cell r="T30">
            <v>18.8</v>
          </cell>
          <cell r="U30">
            <v>21.674291214247631</v>
          </cell>
          <cell r="V30">
            <v>13.1</v>
          </cell>
          <cell r="W30">
            <v>13.518111466521219</v>
          </cell>
          <cell r="X30">
            <v>59.7</v>
          </cell>
          <cell r="Y30">
            <v>9.5</v>
          </cell>
          <cell r="Z30">
            <v>45.940644514292813</v>
          </cell>
          <cell r="AA30">
            <v>0.84335255059469705</v>
          </cell>
          <cell r="AB30">
            <v>1.1857437311298125</v>
          </cell>
          <cell r="AC30">
            <v>1579.3265306122451</v>
          </cell>
          <cell r="AD30">
            <v>2645.4380747273785</v>
          </cell>
          <cell r="AE30">
            <v>100245.67346938775</v>
          </cell>
          <cell r="AF30">
            <v>4.7</v>
          </cell>
          <cell r="AG30">
            <v>21200</v>
          </cell>
          <cell r="AH30">
            <v>25137.767099952023</v>
          </cell>
          <cell r="AI30" t="str">
            <v xml:space="preserve">Ts qm </v>
          </cell>
          <cell r="AK30">
            <v>-5.2160968685079609</v>
          </cell>
          <cell r="AL30">
            <v>6.9827130833200064</v>
          </cell>
          <cell r="AM30">
            <v>-36.422507847595057</v>
          </cell>
          <cell r="AO30">
            <v>21200</v>
          </cell>
          <cell r="AP30">
            <v>21000</v>
          </cell>
          <cell r="AQ30">
            <v>-200</v>
          </cell>
          <cell r="AR30">
            <v>-36.422507847595057</v>
          </cell>
          <cell r="AS30">
            <v>-49</v>
          </cell>
          <cell r="AT30">
            <v>-12.577492152404943</v>
          </cell>
        </row>
        <row r="31">
          <cell r="A31">
            <v>22</v>
          </cell>
          <cell r="B31" t="str">
            <v>COTENTIN</v>
          </cell>
          <cell r="C31" t="str">
            <v>SDM AC03</v>
          </cell>
          <cell r="E31">
            <v>23.2</v>
          </cell>
          <cell r="F31">
            <v>24.638382886756716</v>
          </cell>
          <cell r="G31">
            <v>13.4</v>
          </cell>
          <cell r="H31">
            <v>14.00232543447018</v>
          </cell>
          <cell r="I31">
            <v>51.5</v>
          </cell>
          <cell r="J31">
            <v>9.8000000000000007</v>
          </cell>
          <cell r="K31">
            <v>49.73787794276835</v>
          </cell>
          <cell r="L31">
            <v>0.85475438650572833</v>
          </cell>
          <cell r="M31">
            <v>1.16992672490169</v>
          </cell>
          <cell r="N31">
            <v>1625.1960143743875</v>
          </cell>
          <cell r="O31">
            <v>3155.7204162609464</v>
          </cell>
          <cell r="P31">
            <v>99899.803985625607</v>
          </cell>
          <cell r="Q31">
            <v>1.1499999999999999</v>
          </cell>
          <cell r="R31">
            <v>9500</v>
          </cell>
          <cell r="S31">
            <v>11114.303886566055</v>
          </cell>
          <cell r="T31">
            <v>21.7</v>
          </cell>
          <cell r="U31">
            <v>22.159104398732154</v>
          </cell>
          <cell r="V31">
            <v>12.7</v>
          </cell>
          <cell r="W31">
            <v>13.020599431983129</v>
          </cell>
          <cell r="X31">
            <v>56.1</v>
          </cell>
          <cell r="Y31">
            <v>9.1999999999999993</v>
          </cell>
          <cell r="Z31">
            <v>45.674329706781599</v>
          </cell>
          <cell r="AA31">
            <v>0.84433806995025085</v>
          </cell>
          <cell r="AB31">
            <v>1.1843597198678024</v>
          </cell>
          <cell r="AC31">
            <v>1528.7043080939945</v>
          </cell>
          <cell r="AD31">
            <v>2724.963116032076</v>
          </cell>
          <cell r="AE31">
            <v>100296.29569190601</v>
          </cell>
          <cell r="AF31">
            <v>1.86</v>
          </cell>
          <cell r="AG31">
            <v>8250</v>
          </cell>
          <cell r="AH31">
            <v>9770.9676889093698</v>
          </cell>
          <cell r="AI31" t="str">
            <v xml:space="preserve">qm qi </v>
          </cell>
          <cell r="AK31">
            <v>-4.063548235986751</v>
          </cell>
          <cell r="AL31">
            <v>2.714157691363714</v>
          </cell>
          <cell r="AM31">
            <v>-11.029110698930893</v>
          </cell>
          <cell r="AO31">
            <v>8250</v>
          </cell>
          <cell r="AP31">
            <v>21000</v>
          </cell>
          <cell r="AQ31">
            <v>12750</v>
          </cell>
          <cell r="AR31">
            <v>-11.029110698930893</v>
          </cell>
          <cell r="AS31">
            <v>-49</v>
          </cell>
          <cell r="AT31">
            <v>-37.970889301069107</v>
          </cell>
        </row>
        <row r="32">
          <cell r="A32">
            <v>23</v>
          </cell>
          <cell r="B32" t="str">
            <v>COTENTIN</v>
          </cell>
          <cell r="C32" t="str">
            <v>SDM AC04</v>
          </cell>
          <cell r="E32">
            <v>23.2</v>
          </cell>
          <cell r="F32">
            <v>24.638382886756716</v>
          </cell>
          <cell r="G32">
            <v>13.4</v>
          </cell>
          <cell r="H32">
            <v>14.00232543447018</v>
          </cell>
          <cell r="I32">
            <v>51.5</v>
          </cell>
          <cell r="J32">
            <v>9.8000000000000007</v>
          </cell>
          <cell r="K32">
            <v>49.73787794276835</v>
          </cell>
          <cell r="L32">
            <v>0.85475438650572833</v>
          </cell>
          <cell r="M32">
            <v>1.16992672490169</v>
          </cell>
          <cell r="N32">
            <v>1625.1960143743875</v>
          </cell>
          <cell r="O32">
            <v>3155.7204162609464</v>
          </cell>
          <cell r="P32">
            <v>99899.803985625607</v>
          </cell>
          <cell r="Q32">
            <v>1.1499999999999999</v>
          </cell>
          <cell r="R32">
            <v>10250</v>
          </cell>
          <cell r="S32">
            <v>11991.748930242324</v>
          </cell>
          <cell r="T32">
            <v>21.6</v>
          </cell>
          <cell r="U32">
            <v>22.339208398476529</v>
          </cell>
          <cell r="V32">
            <v>12.7</v>
          </cell>
          <cell r="W32">
            <v>13.187964036180801</v>
          </cell>
          <cell r="X32">
            <v>56.1</v>
          </cell>
          <cell r="Y32">
            <v>9.3000000000000007</v>
          </cell>
          <cell r="Z32">
            <v>46.112734636601061</v>
          </cell>
          <cell r="AA32">
            <v>0.84498686608107654</v>
          </cell>
          <cell r="AB32">
            <v>1.1834503471490052</v>
          </cell>
          <cell r="AC32">
            <v>1545.5728741635385</v>
          </cell>
          <cell r="AD32">
            <v>2755.0318612540791</v>
          </cell>
          <cell r="AE32">
            <v>100279.42712583646</v>
          </cell>
          <cell r="AF32">
            <v>1.86</v>
          </cell>
          <cell r="AG32">
            <v>10000</v>
          </cell>
          <cell r="AH32">
            <v>11834.503471490052</v>
          </cell>
          <cell r="AI32" t="str">
            <v xml:space="preserve">qi </v>
          </cell>
          <cell r="AK32">
            <v>-3.6251433061672884</v>
          </cell>
          <cell r="AL32">
            <v>3.2873620754139035</v>
          </cell>
          <cell r="AM32">
            <v>-11.917158622634917</v>
          </cell>
          <cell r="AO32">
            <v>10000</v>
          </cell>
          <cell r="AP32">
            <v>21000</v>
          </cell>
          <cell r="AQ32">
            <v>11000</v>
          </cell>
          <cell r="AR32">
            <v>-11.917158622634917</v>
          </cell>
          <cell r="AS32">
            <v>-49</v>
          </cell>
          <cell r="AT32">
            <v>-37.082841377365085</v>
          </cell>
        </row>
        <row r="33">
          <cell r="A33">
            <v>24</v>
          </cell>
          <cell r="B33" t="str">
            <v>COTENTIN</v>
          </cell>
          <cell r="C33" t="str">
            <v>SDM AC 05</v>
          </cell>
          <cell r="E33">
            <v>23.3</v>
          </cell>
          <cell r="F33">
            <v>25.522117897464142</v>
          </cell>
          <cell r="G33">
            <v>14.5</v>
          </cell>
          <cell r="H33">
            <v>14.93382833417013</v>
          </cell>
          <cell r="I33">
            <v>51.9</v>
          </cell>
          <cell r="J33">
            <v>10.4</v>
          </cell>
          <cell r="K33">
            <v>52.171387552673465</v>
          </cell>
          <cell r="L33">
            <v>0.8581051493875228</v>
          </cell>
          <cell r="M33">
            <v>1.1653583488151253</v>
          </cell>
          <cell r="N33">
            <v>1726.3897972531063</v>
          </cell>
          <cell r="O33">
            <v>3326.3772586765058</v>
          </cell>
          <cell r="P33">
            <v>99798.610202746888</v>
          </cell>
          <cell r="Q33">
            <v>0.4</v>
          </cell>
          <cell r="R33">
            <v>14000</v>
          </cell>
          <cell r="S33">
            <v>16315.016883411754</v>
          </cell>
          <cell r="T33">
            <v>21</v>
          </cell>
          <cell r="U33">
            <v>21.779917374734197</v>
          </cell>
          <cell r="V33">
            <v>15.8</v>
          </cell>
          <cell r="W33">
            <v>16.388846437470875</v>
          </cell>
          <cell r="X33">
            <v>71.400000000000006</v>
          </cell>
          <cell r="Y33">
            <v>11.4</v>
          </cell>
          <cell r="Z33">
            <v>50.876369515254311</v>
          </cell>
          <cell r="AA33">
            <v>0.84619300880880755</v>
          </cell>
          <cell r="AB33">
            <v>1.1817634860960478</v>
          </cell>
          <cell r="AC33">
            <v>1901.089092695709</v>
          </cell>
          <cell r="AD33">
            <v>2662.5897656802645</v>
          </cell>
          <cell r="AE33">
            <v>99923.910907304293</v>
          </cell>
          <cell r="AF33">
            <v>3.4</v>
          </cell>
          <cell r="AG33">
            <v>13000</v>
          </cell>
          <cell r="AH33">
            <v>15362.925319248621</v>
          </cell>
          <cell r="AI33" t="str">
            <v xml:space="preserve">Ts qi Ev </v>
          </cell>
          <cell r="AK33">
            <v>-1.2950180374191547</v>
          </cell>
          <cell r="AL33">
            <v>4.2674792553468395</v>
          </cell>
          <cell r="AM33">
            <v>-5.5264626099862193</v>
          </cell>
          <cell r="AO33">
            <v>13000</v>
          </cell>
          <cell r="AP33">
            <v>21000</v>
          </cell>
          <cell r="AQ33">
            <v>8000</v>
          </cell>
          <cell r="AR33">
            <v>-5.5264626099862193</v>
          </cell>
          <cell r="AS33">
            <v>-49</v>
          </cell>
          <cell r="AT33">
            <v>-43.473537390013782</v>
          </cell>
        </row>
        <row r="34">
          <cell r="A34">
            <v>25</v>
          </cell>
          <cell r="B34" t="str">
            <v>COTENTIN</v>
          </cell>
          <cell r="C34" t="str">
            <v>SDM AC 06</v>
          </cell>
          <cell r="E34">
            <v>23.2</v>
          </cell>
          <cell r="F34">
            <v>24.775281220401524</v>
          </cell>
          <cell r="G34">
            <v>14.2</v>
          </cell>
          <cell r="H34">
            <v>14.628559512146012</v>
          </cell>
          <cell r="I34">
            <v>53.2</v>
          </cell>
          <cell r="J34">
            <v>10.199999999999999</v>
          </cell>
          <cell r="K34">
            <v>50.896588306983944</v>
          </cell>
          <cell r="L34">
            <v>0.85568873530779554</v>
          </cell>
          <cell r="M34">
            <v>1.1686492514597553</v>
          </cell>
          <cell r="N34">
            <v>1692.6364825106243</v>
          </cell>
          <cell r="O34">
            <v>3181.6475235162111</v>
          </cell>
          <cell r="P34">
            <v>99832.363517489372</v>
          </cell>
          <cell r="Q34">
            <v>1.1499999999999999</v>
          </cell>
          <cell r="R34">
            <v>12700</v>
          </cell>
          <cell r="S34">
            <v>14841.845493538893</v>
          </cell>
          <cell r="T34">
            <v>19.899999999999999</v>
          </cell>
          <cell r="U34">
            <v>20.168811689478986</v>
          </cell>
          <cell r="V34">
            <v>12.4</v>
          </cell>
          <cell r="W34">
            <v>12.851665621062665</v>
          </cell>
          <cell r="X34">
            <v>62.7</v>
          </cell>
          <cell r="Y34">
            <v>9.1</v>
          </cell>
          <cell r="Z34">
            <v>43.384795780680747</v>
          </cell>
          <cell r="AA34">
            <v>0.83851462498283158</v>
          </cell>
          <cell r="AB34">
            <v>1.192585042891142</v>
          </cell>
          <cell r="AC34">
            <v>1511.8412465328763</v>
          </cell>
          <cell r="AD34">
            <v>2411.2300582661505</v>
          </cell>
          <cell r="AE34">
            <v>100313.15875346713</v>
          </cell>
          <cell r="AF34">
            <v>2.84</v>
          </cell>
          <cell r="AG34">
            <v>10700</v>
          </cell>
          <cell r="AH34">
            <v>12760.659958935219</v>
          </cell>
          <cell r="AI34" t="str">
            <v xml:space="preserve">qm qi </v>
          </cell>
          <cell r="AK34">
            <v>-7.5117925263031964</v>
          </cell>
          <cell r="AL34">
            <v>3.5446277663708941</v>
          </cell>
          <cell r="AM34">
            <v>-26.626508363951675</v>
          </cell>
          <cell r="AO34">
            <v>10700</v>
          </cell>
          <cell r="AP34">
            <v>21000</v>
          </cell>
          <cell r="AQ34">
            <v>10300</v>
          </cell>
          <cell r="AR34">
            <v>-26.626508363951675</v>
          </cell>
          <cell r="AS34">
            <v>-49</v>
          </cell>
          <cell r="AT34">
            <v>-22.373491636048325</v>
          </cell>
        </row>
        <row r="35">
          <cell r="A35">
            <v>26</v>
          </cell>
          <cell r="B35" t="str">
            <v>COTENTIN</v>
          </cell>
          <cell r="C35" t="str">
            <v>SDM AC07</v>
          </cell>
          <cell r="E35">
            <v>23.8</v>
          </cell>
          <cell r="F35">
            <v>24.509070197497152</v>
          </cell>
          <cell r="G35">
            <v>13.5</v>
          </cell>
          <cell r="H35">
            <v>14.00232543447018</v>
          </cell>
          <cell r="I35">
            <v>51.9</v>
          </cell>
          <cell r="J35">
            <v>9.8000000000000007</v>
          </cell>
          <cell r="K35">
            <v>49.605470283604049</v>
          </cell>
          <cell r="L35">
            <v>0.85438321491298863</v>
          </cell>
          <cell r="M35">
            <v>1.1704349787604864</v>
          </cell>
          <cell r="N35">
            <v>1625.1960143743875</v>
          </cell>
          <cell r="O35">
            <v>3131.3988716269509</v>
          </cell>
          <cell r="P35">
            <v>99899.803985625607</v>
          </cell>
          <cell r="Q35">
            <v>1.04</v>
          </cell>
          <cell r="R35">
            <v>9000</v>
          </cell>
          <cell r="S35">
            <v>10533.914808844378</v>
          </cell>
          <cell r="T35">
            <v>20.3</v>
          </cell>
          <cell r="U35">
            <v>21.428225742695275</v>
          </cell>
          <cell r="V35">
            <v>13.7</v>
          </cell>
          <cell r="W35">
            <v>14.160907960965801</v>
          </cell>
          <cell r="X35">
            <v>63.2</v>
          </cell>
          <cell r="Y35">
            <v>9.9</v>
          </cell>
          <cell r="Z35">
            <v>46.704910262931861</v>
          </cell>
          <cell r="AA35">
            <v>0.84318241812700478</v>
          </cell>
          <cell r="AB35">
            <v>1.1859829836363767</v>
          </cell>
          <cell r="AC35">
            <v>1646.9000163371998</v>
          </cell>
          <cell r="AD35">
            <v>2605.8544562297466</v>
          </cell>
          <cell r="AE35">
            <v>100178.0999836628</v>
          </cell>
          <cell r="AF35">
            <v>2.98</v>
          </cell>
          <cell r="AG35">
            <v>7450</v>
          </cell>
          <cell r="AH35">
            <v>8835.573228091007</v>
          </cell>
          <cell r="AI35" t="str">
            <v xml:space="preserve">qm qi Ev </v>
          </cell>
          <cell r="AK35">
            <v>-2.900560020672188</v>
          </cell>
          <cell r="AL35">
            <v>2.4543258966919463</v>
          </cell>
          <cell r="AM35">
            <v>-7.1189195736450781</v>
          </cell>
          <cell r="AO35">
            <v>7450</v>
          </cell>
          <cell r="AP35">
            <v>21000</v>
          </cell>
          <cell r="AQ35">
            <v>13550</v>
          </cell>
          <cell r="AR35">
            <v>-7.1189195736450781</v>
          </cell>
          <cell r="AS35">
            <v>-49</v>
          </cell>
          <cell r="AT35">
            <v>-41.88108042635492</v>
          </cell>
        </row>
        <row r="36">
          <cell r="A36">
            <v>27</v>
          </cell>
          <cell r="B36" t="str">
            <v>COTENTIN</v>
          </cell>
          <cell r="C36" t="str">
            <v>SDM AC 08</v>
          </cell>
          <cell r="E36">
            <v>23.6</v>
          </cell>
          <cell r="F36">
            <v>25.163645726889143</v>
          </cell>
          <cell r="G36">
            <v>14.5</v>
          </cell>
          <cell r="H36">
            <v>14.781827872268337</v>
          </cell>
          <cell r="I36">
            <v>52.5</v>
          </cell>
          <cell r="J36">
            <v>10.3</v>
          </cell>
          <cell r="K36">
            <v>51.549237159556611</v>
          </cell>
          <cell r="L36">
            <v>0.85693970725822199</v>
          </cell>
          <cell r="M36">
            <v>1.1669432417824346</v>
          </cell>
          <cell r="N36">
            <v>1709.5103809056727</v>
          </cell>
          <cell r="O36">
            <v>3256.2102493441384</v>
          </cell>
          <cell r="P36">
            <v>99815.489619094325</v>
          </cell>
          <cell r="Q36">
            <v>0.59</v>
          </cell>
          <cell r="R36">
            <v>4800</v>
          </cell>
          <cell r="S36">
            <v>5601.3275605556864</v>
          </cell>
          <cell r="T36">
            <v>19.7</v>
          </cell>
          <cell r="U36">
            <v>22.04749377811163</v>
          </cell>
          <cell r="V36">
            <v>14</v>
          </cell>
          <cell r="W36">
            <v>14.473999686786584</v>
          </cell>
          <cell r="X36">
            <v>62.1</v>
          </cell>
          <cell r="Y36">
            <v>10.1</v>
          </cell>
          <cell r="Z36">
            <v>47.847382568281134</v>
          </cell>
          <cell r="AA36">
            <v>0.84522240562042383</v>
          </cell>
          <cell r="AB36">
            <v>1.1831205530643307</v>
          </cell>
          <cell r="AC36">
            <v>1680.7198888707303</v>
          </cell>
          <cell r="AD36">
            <v>2706.4732509995656</v>
          </cell>
          <cell r="AE36">
            <v>100144.28011112926</v>
          </cell>
          <cell r="AF36">
            <v>3.4</v>
          </cell>
          <cell r="AG36">
            <v>3000</v>
          </cell>
          <cell r="AH36">
            <v>3549.3616591929922</v>
          </cell>
          <cell r="AI36" t="str">
            <v xml:space="preserve">Ts qm qi </v>
          </cell>
          <cell r="AK36">
            <v>-3.7018545912754774</v>
          </cell>
          <cell r="AL36">
            <v>0.98593379422027561</v>
          </cell>
          <cell r="AM36">
            <v>-3.6497835428279792</v>
          </cell>
          <cell r="AO36">
            <v>3000</v>
          </cell>
          <cell r="AP36">
            <v>21000</v>
          </cell>
          <cell r="AQ36">
            <v>18000</v>
          </cell>
          <cell r="AR36">
            <v>-3.6497835428279792</v>
          </cell>
          <cell r="AS36">
            <v>-49</v>
          </cell>
          <cell r="AT36">
            <v>-45.350216457172024</v>
          </cell>
        </row>
        <row r="37">
          <cell r="A37">
            <v>28</v>
          </cell>
          <cell r="B37" t="str">
            <v>COTENTIN</v>
          </cell>
          <cell r="C37" t="str">
            <v>CTA GALERIE</v>
          </cell>
          <cell r="E37">
            <v>21.7</v>
          </cell>
          <cell r="F37">
            <v>22.729469485740992</v>
          </cell>
          <cell r="G37">
            <v>11.8</v>
          </cell>
          <cell r="H37">
            <v>12.159567910129027</v>
          </cell>
          <cell r="I37">
            <v>51.2</v>
          </cell>
          <cell r="J37">
            <v>8.6999999999999993</v>
          </cell>
          <cell r="K37">
            <v>44.986422186337919</v>
          </cell>
          <cell r="L37">
            <v>0.84779651623820662</v>
          </cell>
          <cell r="M37">
            <v>1.1795283194098767</v>
          </cell>
          <cell r="N37">
            <v>1440.1883254524701</v>
          </cell>
          <cell r="O37">
            <v>2812.8678231493559</v>
          </cell>
          <cell r="P37">
            <v>100084.81167454753</v>
          </cell>
          <cell r="Q37">
            <v>8.4</v>
          </cell>
          <cell r="R37">
            <v>4000</v>
          </cell>
          <cell r="S37">
            <v>4718.113277639507</v>
          </cell>
          <cell r="T37">
            <v>16.100000000000001</v>
          </cell>
          <cell r="U37">
            <v>17.459363612945737</v>
          </cell>
          <cell r="V37">
            <v>11.3</v>
          </cell>
          <cell r="W37">
            <v>11.622304099047881</v>
          </cell>
          <cell r="X37">
            <v>68.5</v>
          </cell>
          <cell r="Y37">
            <v>8.4</v>
          </cell>
          <cell r="Z37">
            <v>38.840905132081616</v>
          </cell>
          <cell r="AA37">
            <v>0.82984761969099163</v>
          </cell>
          <cell r="AB37">
            <v>1.2050405113801106</v>
          </cell>
          <cell r="AC37">
            <v>1393.95371577575</v>
          </cell>
          <cell r="AD37">
            <v>2034.9689281397807</v>
          </cell>
          <cell r="AE37">
            <v>100431.04628422426</v>
          </cell>
          <cell r="AF37">
            <v>1.25</v>
          </cell>
          <cell r="AG37">
            <v>2947</v>
          </cell>
          <cell r="AH37">
            <v>3551.254387037186</v>
          </cell>
          <cell r="AI37" t="str">
            <v xml:space="preserve">qm </v>
          </cell>
          <cell r="AK37">
            <v>-6.1455170542563025</v>
          </cell>
          <cell r="AL37">
            <v>0.98645955195477386</v>
          </cell>
          <cell r="AM37">
            <v>-6.0623039998720936</v>
          </cell>
          <cell r="AO37">
            <v>2947</v>
          </cell>
          <cell r="AP37">
            <v>3500</v>
          </cell>
          <cell r="AQ37">
            <v>553</v>
          </cell>
          <cell r="AR37">
            <v>-6.0623039998720936</v>
          </cell>
          <cell r="AS37">
            <v>-16</v>
          </cell>
          <cell r="AT37">
            <v>-9.9376960001279073</v>
          </cell>
        </row>
        <row r="38">
          <cell r="A38">
            <v>29</v>
          </cell>
          <cell r="B38" t="str">
            <v>COTENTIN</v>
          </cell>
          <cell r="C38" t="str">
            <v>RESTAURANT</v>
          </cell>
          <cell r="T38">
            <v>12.8</v>
          </cell>
          <cell r="U38">
            <v>16.338943611668668</v>
          </cell>
          <cell r="V38">
            <v>11.3</v>
          </cell>
          <cell r="W38">
            <v>12.50895846599434</v>
          </cell>
          <cell r="X38">
            <v>78</v>
          </cell>
          <cell r="Y38">
            <v>8.9</v>
          </cell>
          <cell r="Z38">
            <v>38.961989647941927</v>
          </cell>
          <cell r="AA38">
            <v>0.82730386559025126</v>
          </cell>
          <cell r="AB38">
            <v>1.2087457119356457</v>
          </cell>
          <cell r="AC38">
            <v>1478.1316261621268</v>
          </cell>
          <cell r="AD38">
            <v>1895.040546361701</v>
          </cell>
          <cell r="AE38">
            <v>100346.86837383787</v>
          </cell>
          <cell r="AF38">
            <v>6.9</v>
          </cell>
          <cell r="AG38">
            <v>15200</v>
          </cell>
          <cell r="AH38">
            <v>18372.934821421815</v>
          </cell>
          <cell r="AI38" t="str">
            <v xml:space="preserve">Ts qm qi </v>
          </cell>
          <cell r="AK38">
            <v>38.961989647941927</v>
          </cell>
          <cell r="AL38">
            <v>5.1035930059505041</v>
          </cell>
          <cell r="AM38">
            <v>198.84613786515237</v>
          </cell>
          <cell r="AO38">
            <v>15200</v>
          </cell>
          <cell r="AP38">
            <v>20000</v>
          </cell>
          <cell r="AQ38">
            <v>4800</v>
          </cell>
          <cell r="AR38">
            <v>198.84613786515237</v>
          </cell>
          <cell r="AT38" t="str">
            <v/>
          </cell>
        </row>
        <row r="39">
          <cell r="A39">
            <v>30</v>
          </cell>
          <cell r="B39" t="str">
            <v>COTENTIN</v>
          </cell>
          <cell r="C39" t="str">
            <v>CAFETARIA</v>
          </cell>
          <cell r="E39">
            <v>21.8</v>
          </cell>
          <cell r="F39">
            <v>23.246417656056195</v>
          </cell>
          <cell r="G39">
            <v>11.9</v>
          </cell>
          <cell r="H39">
            <v>12.335116480469196</v>
          </cell>
          <cell r="I39">
            <v>50.2</v>
          </cell>
          <cell r="J39">
            <v>8.8000000000000007</v>
          </cell>
          <cell r="K39">
            <v>45.769056471925666</v>
          </cell>
          <cell r="L39">
            <v>0.84941240704399656</v>
          </cell>
          <cell r="M39">
            <v>1.1772844282791404</v>
          </cell>
          <cell r="N39">
            <v>1456.979778212655</v>
          </cell>
          <cell r="O39">
            <v>2902.3501558021012</v>
          </cell>
          <cell r="P39">
            <v>100068.02022178734</v>
          </cell>
          <cell r="Q39">
            <v>0.38</v>
          </cell>
          <cell r="R39">
            <v>4210</v>
          </cell>
          <cell r="S39">
            <v>4956.367443055181</v>
          </cell>
          <cell r="T39">
            <v>14.2</v>
          </cell>
          <cell r="U39">
            <v>14.797612855738436</v>
          </cell>
          <cell r="V39">
            <v>10.5</v>
          </cell>
          <cell r="W39">
            <v>10.879650679262681</v>
          </cell>
          <cell r="X39">
            <v>77.3</v>
          </cell>
          <cell r="Y39">
            <v>8</v>
          </cell>
          <cell r="Z39">
            <v>35.111035585080877</v>
          </cell>
          <cell r="AA39">
            <v>0.8217251449128985</v>
          </cell>
          <cell r="AB39">
            <v>1.2169519287449799</v>
          </cell>
          <cell r="AC39">
            <v>1326.7100977198697</v>
          </cell>
          <cell r="AD39">
            <v>1716.3131923931046</v>
          </cell>
          <cell r="AE39">
            <v>100498.28990228013</v>
          </cell>
          <cell r="AF39">
            <v>3.7</v>
          </cell>
          <cell r="AG39">
            <v>4000</v>
          </cell>
          <cell r="AH39">
            <v>4867.8077149799201</v>
          </cell>
          <cell r="AI39" t="str">
            <v xml:space="preserve">qi </v>
          </cell>
          <cell r="AK39">
            <v>-10.658020886844788</v>
          </cell>
          <cell r="AL39">
            <v>1.3521688097166444</v>
          </cell>
          <cell r="AM39">
            <v>-14.411443416500052</v>
          </cell>
          <cell r="AO39">
            <v>4000</v>
          </cell>
          <cell r="AP39">
            <v>6600</v>
          </cell>
          <cell r="AQ39">
            <v>2600</v>
          </cell>
          <cell r="AR39">
            <v>-14.411443416500052</v>
          </cell>
          <cell r="AT39" t="str">
            <v/>
          </cell>
        </row>
        <row r="40">
          <cell r="A40">
            <v>31</v>
          </cell>
          <cell r="B40" t="str">
            <v>COTENTIN</v>
          </cell>
          <cell r="C40" t="str">
            <v>CONFERENCE</v>
          </cell>
          <cell r="E40">
            <v>22.1</v>
          </cell>
          <cell r="F40">
            <v>23.371497863056305</v>
          </cell>
          <cell r="G40">
            <v>11.4</v>
          </cell>
          <cell r="H40">
            <v>11.80320085882741</v>
          </cell>
          <cell r="I40">
            <v>48.1</v>
          </cell>
          <cell r="J40">
            <v>8.5</v>
          </cell>
          <cell r="K40">
            <v>45.133770499494489</v>
          </cell>
          <cell r="L40">
            <v>0.84936672211456798</v>
          </cell>
          <cell r="M40">
            <v>1.1773477509342702</v>
          </cell>
          <cell r="N40">
            <v>1406.6218418907904</v>
          </cell>
          <cell r="O40">
            <v>2924.369733660687</v>
          </cell>
          <cell r="P40">
            <v>100118.3781581092</v>
          </cell>
          <cell r="Q40">
            <v>1.07</v>
          </cell>
          <cell r="R40">
            <v>1904</v>
          </cell>
          <cell r="S40">
            <v>2241.6701177788505</v>
          </cell>
          <cell r="T40">
            <v>13.4</v>
          </cell>
          <cell r="U40">
            <v>14.197220194137316</v>
          </cell>
          <cell r="V40">
            <v>10</v>
          </cell>
          <cell r="W40">
            <v>10.104273179940293</v>
          </cell>
          <cell r="X40">
            <v>76.3</v>
          </cell>
          <cell r="Y40">
            <v>7.6</v>
          </cell>
          <cell r="Z40">
            <v>33.487458453762201</v>
          </cell>
          <cell r="AA40">
            <v>0.81949114311750282</v>
          </cell>
          <cell r="AB40">
            <v>1.2202694420781737</v>
          </cell>
          <cell r="AC40">
            <v>1259.554036458333</v>
          </cell>
          <cell r="AD40">
            <v>1650.7916598405416</v>
          </cell>
          <cell r="AE40">
            <v>100565.44596354167</v>
          </cell>
          <cell r="AF40">
            <v>1.29</v>
          </cell>
          <cell r="AG40">
            <v>2040</v>
          </cell>
          <cell r="AH40">
            <v>2489.3496618394743</v>
          </cell>
          <cell r="AI40" t="str">
            <v xml:space="preserve">qi </v>
          </cell>
          <cell r="AK40">
            <v>-11.646312045732287</v>
          </cell>
          <cell r="AL40">
            <v>0.6914860171776317</v>
          </cell>
          <cell r="AM40">
            <v>-8.0532619313112956</v>
          </cell>
          <cell r="AO40">
            <v>2040</v>
          </cell>
          <cell r="AP40">
            <v>4400</v>
          </cell>
          <cell r="AQ40">
            <v>2360</v>
          </cell>
          <cell r="AR40">
            <v>-8.0532619313112956</v>
          </cell>
          <cell r="AT40" t="str">
            <v/>
          </cell>
        </row>
        <row r="41">
          <cell r="A41">
            <v>32</v>
          </cell>
          <cell r="B41" t="str">
            <v>COTENTIN</v>
          </cell>
          <cell r="C41" t="str">
            <v>CTA 2</v>
          </cell>
          <cell r="E41">
            <v>22.9</v>
          </cell>
          <cell r="F41">
            <v>23.695197400618156</v>
          </cell>
          <cell r="G41">
            <v>16.100000000000001</v>
          </cell>
          <cell r="H41">
            <v>16.666693605172128</v>
          </cell>
          <cell r="I41">
            <v>64.7</v>
          </cell>
          <cell r="J41">
            <v>11.6</v>
          </cell>
          <cell r="K41">
            <v>53.351970235442181</v>
          </cell>
          <cell r="L41">
            <v>0.85447460663644537</v>
          </cell>
          <cell r="M41">
            <v>1.1703097929807429</v>
          </cell>
          <cell r="N41">
            <v>1929.3741808650066</v>
          </cell>
          <cell r="O41">
            <v>2982.0311914451413</v>
          </cell>
          <cell r="P41">
            <v>99595.625819134992</v>
          </cell>
          <cell r="T41">
            <v>13.7</v>
          </cell>
          <cell r="U41">
            <v>18.085723185067849</v>
          </cell>
          <cell r="V41">
            <v>13.1</v>
          </cell>
          <cell r="W41">
            <v>13.518111466521219</v>
          </cell>
          <cell r="X41">
            <v>74.599999999999994</v>
          </cell>
          <cell r="Y41">
            <v>9.5</v>
          </cell>
          <cell r="Z41">
            <v>42.268157821750663</v>
          </cell>
          <cell r="AA41">
            <v>0.83308735844269732</v>
          </cell>
          <cell r="AB41">
            <v>1.2003543084236867</v>
          </cell>
          <cell r="AC41">
            <v>1579.3265306122446</v>
          </cell>
          <cell r="AD41">
            <v>2117.0596925097116</v>
          </cell>
          <cell r="AE41">
            <v>100245.67346938775</v>
          </cell>
          <cell r="AF41">
            <v>0.55000000000000004</v>
          </cell>
          <cell r="AG41">
            <v>67980</v>
          </cell>
          <cell r="AH41">
            <v>81600.08588664222</v>
          </cell>
          <cell r="AI41" t="str">
            <v xml:space="preserve">Ts qm qi </v>
          </cell>
          <cell r="AK41">
            <v>-11.083812413691518</v>
          </cell>
          <cell r="AL41">
            <v>22.666690524067285</v>
          </cell>
          <cell r="AM41">
            <v>-251.23334580796089</v>
          </cell>
          <cell r="AO41">
            <v>67980</v>
          </cell>
          <cell r="AP41">
            <v>100000</v>
          </cell>
          <cell r="AQ41">
            <v>32020</v>
          </cell>
          <cell r="AR41">
            <v>-251.23334580796089</v>
          </cell>
          <cell r="AS41">
            <v>-850</v>
          </cell>
          <cell r="AT41">
            <v>-598.76665419203914</v>
          </cell>
        </row>
        <row r="42">
          <cell r="A42">
            <v>33</v>
          </cell>
          <cell r="B42" t="str">
            <v>COTENTIN</v>
          </cell>
          <cell r="C42" t="str">
            <v>CTA 1</v>
          </cell>
          <cell r="E42">
            <v>22.9</v>
          </cell>
          <cell r="F42">
            <v>23.375835065547307</v>
          </cell>
          <cell r="G42">
            <v>16.399999999999999</v>
          </cell>
          <cell r="H42">
            <v>16.388846437470932</v>
          </cell>
          <cell r="I42">
            <v>64.8</v>
          </cell>
          <cell r="J42">
            <v>11.4</v>
          </cell>
          <cell r="K42">
            <v>52.515156747078038</v>
          </cell>
          <cell r="L42">
            <v>0.85328588567655228</v>
          </cell>
          <cell r="M42">
            <v>1.1719401630640136</v>
          </cell>
          <cell r="N42">
            <v>1895.4880445463482</v>
          </cell>
          <cell r="O42">
            <v>2925.1358712135002</v>
          </cell>
          <cell r="P42">
            <v>99629.51195545365</v>
          </cell>
          <cell r="T42">
            <v>12.2</v>
          </cell>
          <cell r="U42">
            <v>19.15012540439281</v>
          </cell>
          <cell r="V42">
            <v>15.9</v>
          </cell>
          <cell r="W42">
            <v>16.388846437470875</v>
          </cell>
          <cell r="X42">
            <v>84</v>
          </cell>
          <cell r="Y42">
            <v>11.4</v>
          </cell>
          <cell r="Z42">
            <v>48.175936073005616</v>
          </cell>
          <cell r="AA42">
            <v>0.83864778721944622</v>
          </cell>
          <cell r="AB42">
            <v>1.1923956817623287</v>
          </cell>
          <cell r="AC42">
            <v>1901.0890926957093</v>
          </cell>
          <cell r="AD42">
            <v>2263.2013008282252</v>
          </cell>
          <cell r="AE42">
            <v>99923.910907304293</v>
          </cell>
          <cell r="AF42">
            <v>6.9</v>
          </cell>
          <cell r="AG42">
            <v>62925</v>
          </cell>
          <cell r="AH42">
            <v>75031.498274894533</v>
          </cell>
          <cell r="AI42" t="str">
            <v xml:space="preserve">Ts qm qi Ev </v>
          </cell>
          <cell r="AK42">
            <v>-4.339220674072422</v>
          </cell>
          <cell r="AL42">
            <v>20.84208285413737</v>
          </cell>
          <cell r="AM42">
            <v>-90.438396811403223</v>
          </cell>
          <cell r="AO42">
            <v>62925</v>
          </cell>
          <cell r="AP42">
            <v>100000</v>
          </cell>
          <cell r="AQ42">
            <v>37075</v>
          </cell>
          <cell r="AR42">
            <v>-90.438396811403223</v>
          </cell>
          <cell r="AS42">
            <v>-850</v>
          </cell>
          <cell r="AT42">
            <v>-759.56160318859679</v>
          </cell>
        </row>
        <row r="43">
          <cell r="A43">
            <v>34</v>
          </cell>
          <cell r="B43" t="str">
            <v>PASTEUR</v>
          </cell>
          <cell r="C43" t="str">
            <v>CLIM ONDULEUR N°1</v>
          </cell>
          <cell r="E43">
            <v>27.2</v>
          </cell>
          <cell r="F43">
            <v>27.449642159104172</v>
          </cell>
          <cell r="G43">
            <v>12.6</v>
          </cell>
          <cell r="H43">
            <v>13.020599431983186</v>
          </cell>
          <cell r="I43">
            <v>40.9</v>
          </cell>
          <cell r="J43">
            <v>9.1999999999999993</v>
          </cell>
          <cell r="K43">
            <v>51.085682187449478</v>
          </cell>
          <cell r="L43">
            <v>0.86200426528345175</v>
          </cell>
          <cell r="M43">
            <v>1.1600870671691761</v>
          </cell>
          <cell r="N43">
            <v>1524.2003916449084</v>
          </cell>
          <cell r="O43">
            <v>3726.6513243151799</v>
          </cell>
          <cell r="P43">
            <v>100000.7996083551</v>
          </cell>
          <cell r="Q43">
            <v>3.8</v>
          </cell>
          <cell r="R43">
            <v>5256</v>
          </cell>
          <cell r="S43">
            <v>6097.4176250411892</v>
          </cell>
          <cell r="T43">
            <v>17.2</v>
          </cell>
          <cell r="U43">
            <v>18.934279588698558</v>
          </cell>
          <cell r="V43">
            <v>13.8</v>
          </cell>
          <cell r="W43">
            <v>14.002325434470151</v>
          </cell>
          <cell r="X43">
            <v>73</v>
          </cell>
          <cell r="Y43">
            <v>9.8000000000000007</v>
          </cell>
          <cell r="Z43">
            <v>43.897252636374475</v>
          </cell>
          <cell r="AA43">
            <v>0.83591159518419866</v>
          </cell>
          <cell r="AB43">
            <v>1.1962987542715486</v>
          </cell>
          <cell r="AC43">
            <v>1629.9983665468803</v>
          </cell>
          <cell r="AD43">
            <v>2232.8744747217538</v>
          </cell>
          <cell r="AE43">
            <v>100195.00163345312</v>
          </cell>
          <cell r="AF43">
            <v>2.1</v>
          </cell>
          <cell r="AG43">
            <v>7000</v>
          </cell>
          <cell r="AH43">
            <v>8374.0912799008402</v>
          </cell>
          <cell r="AI43" t="str">
            <v xml:space="preserve">qm qi Ev </v>
          </cell>
          <cell r="AK43">
            <v>-7.1884295510750036</v>
          </cell>
          <cell r="AL43">
            <v>2.3261364666391224</v>
          </cell>
          <cell r="AM43">
            <v>-16.721268116621861</v>
          </cell>
          <cell r="AO43">
            <v>7000</v>
          </cell>
          <cell r="AP43">
            <v>3000</v>
          </cell>
          <cell r="AQ43">
            <v>-4000</v>
          </cell>
          <cell r="AR43">
            <v>-16.721268116621861</v>
          </cell>
          <cell r="AS43">
            <v>-32.1</v>
          </cell>
          <cell r="AT43">
            <v>-15.378731883378141</v>
          </cell>
        </row>
        <row r="44">
          <cell r="A44">
            <v>35</v>
          </cell>
          <cell r="B44" t="str">
            <v>PASTEUR</v>
          </cell>
          <cell r="C44" t="str">
            <v>CLIM ONDULEUR N°2</v>
          </cell>
          <cell r="E44">
            <v>26</v>
          </cell>
          <cell r="F44">
            <v>26.687089565647028</v>
          </cell>
          <cell r="G44">
            <v>12.5</v>
          </cell>
          <cell r="H44">
            <v>12.851665621062722</v>
          </cell>
          <cell r="I44">
            <v>42.3</v>
          </cell>
          <cell r="J44">
            <v>9.1</v>
          </cell>
          <cell r="K44">
            <v>50.050732205577631</v>
          </cell>
          <cell r="L44">
            <v>0.85968133795226376</v>
          </cell>
          <cell r="M44">
            <v>1.1632217146669384</v>
          </cell>
          <cell r="N44">
            <v>1507.3870125632241</v>
          </cell>
          <cell r="O44">
            <v>3563.5626774544307</v>
          </cell>
          <cell r="P44">
            <v>100017.61298743678</v>
          </cell>
          <cell r="Q44">
            <v>3.6</v>
          </cell>
          <cell r="R44">
            <v>3100</v>
          </cell>
          <cell r="S44">
            <v>3605.9873154675088</v>
          </cell>
          <cell r="T44">
            <v>17.2</v>
          </cell>
          <cell r="U44">
            <v>17.819908211339026</v>
          </cell>
          <cell r="V44">
            <v>12</v>
          </cell>
          <cell r="W44">
            <v>12.50895846599434</v>
          </cell>
          <cell r="X44">
            <v>71</v>
          </cell>
          <cell r="Y44">
            <v>8.9</v>
          </cell>
          <cell r="Z44">
            <v>40.475960505645141</v>
          </cell>
          <cell r="AA44">
            <v>0.83153617830943083</v>
          </cell>
          <cell r="AB44">
            <v>1.2025934963323754</v>
          </cell>
          <cell r="AC44">
            <v>1478.1316261621271</v>
          </cell>
          <cell r="AD44">
            <v>2081.8755298058127</v>
          </cell>
          <cell r="AE44">
            <v>100346.86837383787</v>
          </cell>
          <cell r="AF44">
            <v>11</v>
          </cell>
          <cell r="AG44">
            <v>2510</v>
          </cell>
          <cell r="AH44">
            <v>3018.5096757942624</v>
          </cell>
          <cell r="AI44" t="str">
            <v xml:space="preserve">qm </v>
          </cell>
          <cell r="AK44">
            <v>-9.5747716999324908</v>
          </cell>
          <cell r="AL44">
            <v>0.83847490994285068</v>
          </cell>
          <cell r="AM44">
            <v>-8.0282058388242508</v>
          </cell>
          <cell r="AO44">
            <v>2510</v>
          </cell>
          <cell r="AP44">
            <v>3000</v>
          </cell>
          <cell r="AQ44">
            <v>490</v>
          </cell>
          <cell r="AR44">
            <v>-8.0282058388242508</v>
          </cell>
          <cell r="AS44">
            <v>-32.1</v>
          </cell>
          <cell r="AT44">
            <v>-24.071794161175752</v>
          </cell>
        </row>
        <row r="45">
          <cell r="A45">
            <v>36</v>
          </cell>
          <cell r="B45" t="str">
            <v>PASTEUR</v>
          </cell>
          <cell r="C45" t="str">
            <v>CLIM ONDULEUR N°3</v>
          </cell>
          <cell r="E45">
            <v>25.4</v>
          </cell>
          <cell r="F45">
            <v>26.271558743300574</v>
          </cell>
          <cell r="G45">
            <v>12.9</v>
          </cell>
          <cell r="H45">
            <v>13.353791136628161</v>
          </cell>
          <cell r="I45">
            <v>44.8</v>
          </cell>
          <cell r="J45">
            <v>9.4</v>
          </cell>
          <cell r="K45">
            <v>50.390511449262632</v>
          </cell>
          <cell r="L45">
            <v>0.85889803619951177</v>
          </cell>
          <cell r="M45">
            <v>1.1642825549175104</v>
          </cell>
          <cell r="N45">
            <v>1557.8436173685927</v>
          </cell>
          <cell r="O45">
            <v>3477.3295030548948</v>
          </cell>
          <cell r="P45">
            <v>99967.156382631409</v>
          </cell>
          <cell r="Q45">
            <v>8.5</v>
          </cell>
          <cell r="R45">
            <v>10900</v>
          </cell>
          <cell r="S45">
            <v>12690.679848600863</v>
          </cell>
          <cell r="T45">
            <v>16.899999999999999</v>
          </cell>
          <cell r="U45">
            <v>19.563303350734571</v>
          </cell>
          <cell r="V45">
            <v>11.8</v>
          </cell>
          <cell r="W45">
            <v>12.15956791012897</v>
          </cell>
          <cell r="X45">
            <v>62.2</v>
          </cell>
          <cell r="Y45">
            <v>8.6999999999999993</v>
          </cell>
          <cell r="Z45">
            <v>41.750850523486022</v>
          </cell>
          <cell r="AA45">
            <v>0.83625328458086645</v>
          </cell>
          <cell r="AB45">
            <v>1.19580995188701</v>
          </cell>
          <cell r="AC45">
            <v>1444.4439915212781</v>
          </cell>
          <cell r="AD45">
            <v>2322.2572210953026</v>
          </cell>
          <cell r="AE45">
            <v>100380.55600847873</v>
          </cell>
          <cell r="AF45">
            <v>3.4</v>
          </cell>
          <cell r="AG45">
            <v>12000</v>
          </cell>
          <cell r="AH45">
            <v>14349.719422644121</v>
          </cell>
          <cell r="AI45" t="str">
            <v xml:space="preserve">Ts qm qi </v>
          </cell>
          <cell r="AK45">
            <v>-8.6396609257766102</v>
          </cell>
          <cell r="AL45">
            <v>3.9860331729567</v>
          </cell>
          <cell r="AM45">
            <v>-34.437975053243363</v>
          </cell>
          <cell r="AO45">
            <v>12000</v>
          </cell>
          <cell r="AP45">
            <v>3000</v>
          </cell>
          <cell r="AQ45">
            <v>-9000</v>
          </cell>
          <cell r="AR45">
            <v>-34.437975053243363</v>
          </cell>
          <cell r="AS45">
            <v>-32.1</v>
          </cell>
          <cell r="AT45">
            <v>2.3379750532433619</v>
          </cell>
        </row>
        <row r="46">
          <cell r="A46">
            <v>37</v>
          </cell>
          <cell r="B46" t="str">
            <v>PASTEUR</v>
          </cell>
          <cell r="C46" t="str">
            <v>CTA 02</v>
          </cell>
          <cell r="E46">
            <v>20.3</v>
          </cell>
          <cell r="F46">
            <v>19.83794790111665</v>
          </cell>
          <cell r="G46">
            <v>12.4</v>
          </cell>
          <cell r="H46">
            <v>12.851665621062722</v>
          </cell>
          <cell r="I46">
            <v>64</v>
          </cell>
          <cell r="J46">
            <v>9.1</v>
          </cell>
          <cell r="K46">
            <v>43.046436934920649</v>
          </cell>
          <cell r="L46">
            <v>0.84004374315531005</v>
          </cell>
          <cell r="M46">
            <v>1.1904141994366557</v>
          </cell>
          <cell r="N46">
            <v>1507.3870125632241</v>
          </cell>
          <cell r="O46">
            <v>2355.2922071300377</v>
          </cell>
          <cell r="P46">
            <v>100017.61298743678</v>
          </cell>
          <cell r="Q46">
            <v>3</v>
          </cell>
          <cell r="R46">
            <v>45000</v>
          </cell>
          <cell r="S46">
            <v>53568.638974649504</v>
          </cell>
          <cell r="T46">
            <v>12</v>
          </cell>
          <cell r="U46">
            <v>19.280187127079017</v>
          </cell>
          <cell r="V46">
            <v>12.5</v>
          </cell>
          <cell r="W46">
            <v>13.020599431983129</v>
          </cell>
          <cell r="X46">
            <v>67</v>
          </cell>
          <cell r="Y46">
            <v>9.1999999999999993</v>
          </cell>
          <cell r="Z46">
            <v>42.729669480312992</v>
          </cell>
          <cell r="AA46">
            <v>0.83610676445886334</v>
          </cell>
          <cell r="AB46">
            <v>1.1960195067279595</v>
          </cell>
          <cell r="AC46">
            <v>1528.704308093995</v>
          </cell>
          <cell r="AD46">
            <v>2281.6482210358131</v>
          </cell>
          <cell r="AE46">
            <v>100296.29569190601</v>
          </cell>
          <cell r="AF46">
            <v>4</v>
          </cell>
          <cell r="AG46">
            <v>40000</v>
          </cell>
          <cell r="AH46">
            <v>47840.780269118382</v>
          </cell>
          <cell r="AI46" t="str">
            <v xml:space="preserve">Ts qm qi Ev </v>
          </cell>
          <cell r="AK46">
            <v>-0.31676745460765687</v>
          </cell>
          <cell r="AL46">
            <v>13.289105630310662</v>
          </cell>
          <cell r="AM46">
            <v>-4.2095561645257895</v>
          </cell>
          <cell r="AO46">
            <v>40000</v>
          </cell>
          <cell r="AP46">
            <v>50000</v>
          </cell>
          <cell r="AQ46">
            <v>10000</v>
          </cell>
          <cell r="AR46">
            <v>-4.2095561645257895</v>
          </cell>
          <cell r="AT46" t="str">
            <v/>
          </cell>
        </row>
        <row r="47">
          <cell r="A47">
            <v>38</v>
          </cell>
          <cell r="B47" t="str">
            <v>PASTEUR</v>
          </cell>
          <cell r="C47" t="str">
            <v>CTA 03</v>
          </cell>
          <cell r="E47">
            <v>20.399999999999999</v>
          </cell>
          <cell r="F47">
            <v>20.091775969448662</v>
          </cell>
          <cell r="G47">
            <v>12.5</v>
          </cell>
          <cell r="H47">
            <v>12.851665621062722</v>
          </cell>
          <cell r="I47">
            <v>63</v>
          </cell>
          <cell r="J47">
            <v>9.1</v>
          </cell>
          <cell r="K47">
            <v>43.306014970484583</v>
          </cell>
          <cell r="L47">
            <v>0.84077150920223132</v>
          </cell>
          <cell r="M47">
            <v>1.1893837850771765</v>
          </cell>
          <cell r="N47">
            <v>1507.3870125632241</v>
          </cell>
          <cell r="O47">
            <v>2392.6777977194033</v>
          </cell>
          <cell r="P47">
            <v>100017.61298743678</v>
          </cell>
          <cell r="Q47">
            <v>2.9</v>
          </cell>
          <cell r="R47">
            <v>39000</v>
          </cell>
          <cell r="S47">
            <v>46385.967618009883</v>
          </cell>
          <cell r="T47">
            <v>13</v>
          </cell>
          <cell r="U47">
            <v>19.04292344310349</v>
          </cell>
          <cell r="V47">
            <v>12.7</v>
          </cell>
          <cell r="W47">
            <v>13.020599431983129</v>
          </cell>
          <cell r="X47">
            <v>68</v>
          </cell>
          <cell r="Y47">
            <v>9.1999999999999993</v>
          </cell>
          <cell r="Z47">
            <v>42.486987642850195</v>
          </cell>
          <cell r="AA47">
            <v>0.83542838794417695</v>
          </cell>
          <cell r="AB47">
            <v>1.1969906869705507</v>
          </cell>
          <cell r="AC47">
            <v>1528.7043080939945</v>
          </cell>
          <cell r="AD47">
            <v>2248.0945707264627</v>
          </cell>
          <cell r="AE47">
            <v>100296.29569190601</v>
          </cell>
          <cell r="AF47">
            <v>4</v>
          </cell>
          <cell r="AG47">
            <v>38500</v>
          </cell>
          <cell r="AH47">
            <v>46084.141448366201</v>
          </cell>
          <cell r="AI47" t="str">
            <v xml:space="preserve">Ts qi Ev </v>
          </cell>
          <cell r="AK47">
            <v>-0.81902732763438735</v>
          </cell>
          <cell r="AL47">
            <v>12.801150402323945</v>
          </cell>
          <cell r="AM47">
            <v>-10.484492004661243</v>
          </cell>
          <cell r="AO47">
            <v>38500</v>
          </cell>
          <cell r="AQ47" t="str">
            <v/>
          </cell>
          <cell r="AR47">
            <v>-10.484492004661243</v>
          </cell>
          <cell r="AT47" t="str">
            <v/>
          </cell>
        </row>
        <row r="48">
          <cell r="A48">
            <v>39</v>
          </cell>
          <cell r="B48" t="str">
            <v>PASTEUR</v>
          </cell>
          <cell r="C48" t="str">
            <v>CTA 04</v>
          </cell>
          <cell r="E48">
            <v>20</v>
          </cell>
          <cell r="F48">
            <v>19.682676275709611</v>
          </cell>
          <cell r="G48">
            <v>12.3</v>
          </cell>
          <cell r="H48">
            <v>12.68112988900225</v>
          </cell>
          <cell r="I48">
            <v>63.9</v>
          </cell>
          <cell r="J48">
            <v>9</v>
          </cell>
          <cell r="K48">
            <v>42.633946011624801</v>
          </cell>
          <cell r="L48">
            <v>0.83946551701563787</v>
          </cell>
          <cell r="M48">
            <v>1.1912341599867904</v>
          </cell>
          <cell r="N48">
            <v>1490.57911908646</v>
          </cell>
          <cell r="O48">
            <v>2332.6746777565886</v>
          </cell>
          <cell r="P48">
            <v>100034.42088091355</v>
          </cell>
          <cell r="Q48">
            <v>3.5</v>
          </cell>
          <cell r="R48">
            <v>32000</v>
          </cell>
          <cell r="S48">
            <v>38119.493119577295</v>
          </cell>
          <cell r="T48">
            <v>12</v>
          </cell>
          <cell r="U48">
            <v>19.34345223634233</v>
          </cell>
          <cell r="V48">
            <v>12.2</v>
          </cell>
          <cell r="W48">
            <v>12.851665621062665</v>
          </cell>
          <cell r="X48">
            <v>66</v>
          </cell>
          <cell r="Y48">
            <v>9.1</v>
          </cell>
          <cell r="Z48">
            <v>42.54073945985219</v>
          </cell>
          <cell r="AA48">
            <v>0.83615515827036058</v>
          </cell>
          <cell r="AB48">
            <v>1.1959502851941533</v>
          </cell>
          <cell r="AC48">
            <v>1511.8412465328763</v>
          </cell>
          <cell r="AD48">
            <v>2290.6685553528432</v>
          </cell>
          <cell r="AE48">
            <v>100313.15875346713</v>
          </cell>
          <cell r="AF48">
            <v>4</v>
          </cell>
          <cell r="AG48">
            <v>32000</v>
          </cell>
          <cell r="AH48">
            <v>38270.4091262129</v>
          </cell>
          <cell r="AI48" t="str">
            <v xml:space="preserve">Ts Ev </v>
          </cell>
          <cell r="AK48">
            <v>-9.3206551772610169E-2</v>
          </cell>
          <cell r="AL48">
            <v>10.630669201725805</v>
          </cell>
          <cell r="AM48">
            <v>-0.9908480193281487</v>
          </cell>
          <cell r="AO48">
            <v>32000</v>
          </cell>
          <cell r="AP48">
            <v>35000</v>
          </cell>
          <cell r="AQ48">
            <v>3000</v>
          </cell>
          <cell r="AR48">
            <v>-0.9908480193281487</v>
          </cell>
          <cell r="AT48" t="str">
            <v/>
          </cell>
        </row>
        <row r="49">
          <cell r="A49">
            <v>40</v>
          </cell>
          <cell r="B49" t="str">
            <v>PASTEUR</v>
          </cell>
          <cell r="C49" t="str">
            <v>CTA TRANSFO NORMALE</v>
          </cell>
          <cell r="E49">
            <v>22</v>
          </cell>
          <cell r="F49">
            <v>22.815310747766915</v>
          </cell>
          <cell r="G49">
            <v>12.7</v>
          </cell>
          <cell r="H49">
            <v>13.187964036180858</v>
          </cell>
          <cell r="I49">
            <v>54.5</v>
          </cell>
          <cell r="J49">
            <v>9.3000000000000007</v>
          </cell>
          <cell r="K49">
            <v>46.599796385869759</v>
          </cell>
          <cell r="L49">
            <v>0.84884924410112883</v>
          </cell>
          <cell r="M49">
            <v>1.1780654891893425</v>
          </cell>
          <cell r="N49">
            <v>1541.0192590174636</v>
          </cell>
          <cell r="O49">
            <v>2827.5582734265386</v>
          </cell>
          <cell r="P49">
            <v>99983.98074098253</v>
          </cell>
          <cell r="Q49">
            <v>3.5</v>
          </cell>
          <cell r="R49">
            <v>3800</v>
          </cell>
          <cell r="S49">
            <v>4476.6488589195014</v>
          </cell>
          <cell r="T49">
            <v>16.100000000000001</v>
          </cell>
          <cell r="U49">
            <v>15.024876310464634</v>
          </cell>
          <cell r="V49">
            <v>11.4</v>
          </cell>
          <cell r="W49">
            <v>11.80320085882741</v>
          </cell>
          <cell r="X49">
            <v>81</v>
          </cell>
          <cell r="Y49">
            <v>8.5</v>
          </cell>
          <cell r="Z49">
            <v>36.607237519336692</v>
          </cell>
          <cell r="AA49">
            <v>0.82302637130489653</v>
          </cell>
          <cell r="AB49">
            <v>1.2150278956608818</v>
          </cell>
          <cell r="AC49">
            <v>1410.7783211083945</v>
          </cell>
          <cell r="AD49">
            <v>1741.7016309980179</v>
          </cell>
          <cell r="AE49">
            <v>100414.22167889161</v>
          </cell>
          <cell r="AF49">
            <v>2.7</v>
          </cell>
          <cell r="AG49">
            <v>4900</v>
          </cell>
          <cell r="AH49">
            <v>5953.636688738321</v>
          </cell>
          <cell r="AI49" t="str">
            <v xml:space="preserve">qm qi </v>
          </cell>
          <cell r="AK49">
            <v>-9.9925588665330665</v>
          </cell>
          <cell r="AL49">
            <v>1.6537879690939781</v>
          </cell>
          <cell r="AM49">
            <v>-16.525573633935743</v>
          </cell>
          <cell r="AO49">
            <v>4900</v>
          </cell>
          <cell r="AP49">
            <v>6000</v>
          </cell>
          <cell r="AQ49">
            <v>1100</v>
          </cell>
          <cell r="AR49">
            <v>-16.525573633935743</v>
          </cell>
          <cell r="AT49" t="str">
            <v/>
          </cell>
        </row>
        <row r="50">
          <cell r="A50">
            <v>41</v>
          </cell>
          <cell r="B50" t="str">
            <v>PASTEUR</v>
          </cell>
          <cell r="C50" t="str">
            <v>CTA TRANSFO SECOUR</v>
          </cell>
          <cell r="E50">
            <v>12.1</v>
          </cell>
          <cell r="F50">
            <v>15.736493088823636</v>
          </cell>
          <cell r="G50">
            <v>10</v>
          </cell>
          <cell r="H50">
            <v>10.301359152412431</v>
          </cell>
          <cell r="I50">
            <v>70</v>
          </cell>
          <cell r="J50">
            <v>7.7</v>
          </cell>
          <cell r="K50">
            <v>35.310354971471192</v>
          </cell>
          <cell r="L50">
            <v>0.82644678673942773</v>
          </cell>
          <cell r="M50">
            <v>1.2099992595352569</v>
          </cell>
          <cell r="N50">
            <v>1272.5744750122089</v>
          </cell>
          <cell r="O50">
            <v>1817.9635357317272</v>
          </cell>
          <cell r="P50">
            <v>100252.42552498779</v>
          </cell>
          <cell r="Q50">
            <v>0.28999999999999998</v>
          </cell>
          <cell r="R50">
            <v>2600</v>
          </cell>
          <cell r="S50">
            <v>3145.9980747916679</v>
          </cell>
          <cell r="T50">
            <v>15</v>
          </cell>
          <cell r="U50">
            <v>15.456386586602378</v>
          </cell>
          <cell r="V50">
            <v>11.1</v>
          </cell>
          <cell r="W50">
            <v>11.439544077719205</v>
          </cell>
          <cell r="X50">
            <v>76.900000000000006</v>
          </cell>
          <cell r="Y50">
            <v>8.3000000000000007</v>
          </cell>
          <cell r="Z50">
            <v>36.542191961985893</v>
          </cell>
          <cell r="AA50">
            <v>0.82399730110408609</v>
          </cell>
          <cell r="AB50">
            <v>1.2135962079731151</v>
          </cell>
          <cell r="AC50">
            <v>1377.1345934495682</v>
          </cell>
          <cell r="AD50">
            <v>1790.8122151489831</v>
          </cell>
          <cell r="AE50">
            <v>100447.86540655044</v>
          </cell>
          <cell r="AF50">
            <v>1.35</v>
          </cell>
          <cell r="AG50">
            <v>3351</v>
          </cell>
          <cell r="AH50">
            <v>4066.7608929179087</v>
          </cell>
          <cell r="AI50" t="str">
            <v xml:space="preserve">Ts qm qi Ev </v>
          </cell>
          <cell r="AK50">
            <v>1.2318369905147009</v>
          </cell>
          <cell r="AL50">
            <v>1.129655803588308</v>
          </cell>
          <cell r="AM50">
            <v>1.3915518054096874</v>
          </cell>
          <cell r="AO50">
            <v>3351</v>
          </cell>
          <cell r="AP50">
            <v>6000</v>
          </cell>
          <cell r="AQ50">
            <v>2649</v>
          </cell>
          <cell r="AR50">
            <v>1.3915518054096874</v>
          </cell>
          <cell r="AT50" t="str">
            <v/>
          </cell>
        </row>
        <row r="51">
          <cell r="A51">
            <v>42</v>
          </cell>
          <cell r="B51" t="str">
            <v>PASTEUR</v>
          </cell>
          <cell r="C51" t="str">
            <v>CTA TGBT NORMALE</v>
          </cell>
          <cell r="E51">
            <v>24.2</v>
          </cell>
          <cell r="F51">
            <v>22.867925815849532</v>
          </cell>
          <cell r="G51">
            <v>13.2</v>
          </cell>
          <cell r="H51">
            <v>13.842350133741036</v>
          </cell>
          <cell r="I51">
            <v>56.7</v>
          </cell>
          <cell r="J51">
            <v>9.6999999999999993</v>
          </cell>
          <cell r="K51">
            <v>47.670761921901772</v>
          </cell>
          <cell r="L51">
            <v>0.84953808548491638</v>
          </cell>
          <cell r="M51">
            <v>1.1771102639020592</v>
          </cell>
          <cell r="N51">
            <v>1608.3496651967989</v>
          </cell>
          <cell r="O51">
            <v>2836.5955294476171</v>
          </cell>
          <cell r="P51">
            <v>99916.650334803198</v>
          </cell>
          <cell r="Q51">
            <v>5</v>
          </cell>
          <cell r="R51">
            <v>2868</v>
          </cell>
          <cell r="S51">
            <v>3375.9522368711059</v>
          </cell>
          <cell r="T51">
            <v>15.1</v>
          </cell>
          <cell r="U51">
            <v>15.245401136289985</v>
          </cell>
          <cell r="V51">
            <v>10.5</v>
          </cell>
          <cell r="W51">
            <v>11.254878180560894</v>
          </cell>
          <cell r="X51">
            <v>77</v>
          </cell>
          <cell r="Y51">
            <v>8.1999999999999993</v>
          </cell>
          <cell r="Z51">
            <v>36.07384603255889</v>
          </cell>
          <cell r="AA51">
            <v>0.82326428318810219</v>
          </cell>
          <cell r="AB51">
            <v>1.2146767695635796</v>
          </cell>
          <cell r="AC51">
            <v>1360.3209514499838</v>
          </cell>
          <cell r="AD51">
            <v>1766.6505862986801</v>
          </cell>
          <cell r="AE51">
            <v>100464.67904855001</v>
          </cell>
          <cell r="AF51">
            <v>2.1</v>
          </cell>
          <cell r="AG51">
            <v>2700</v>
          </cell>
          <cell r="AH51">
            <v>3279.6272778216648</v>
          </cell>
          <cell r="AI51" t="str">
            <v/>
          </cell>
          <cell r="AK51">
            <v>-11.596915889342881</v>
          </cell>
          <cell r="AL51">
            <v>0.91100757717268466</v>
          </cell>
          <cell r="AM51">
            <v>-10.564878247025668</v>
          </cell>
          <cell r="AO51">
            <v>2700</v>
          </cell>
          <cell r="AP51">
            <v>3000</v>
          </cell>
          <cell r="AQ51">
            <v>300</v>
          </cell>
          <cell r="AR51">
            <v>-10.564878247025668</v>
          </cell>
          <cell r="AT51" t="str">
            <v/>
          </cell>
        </row>
        <row r="52">
          <cell r="A52">
            <v>43</v>
          </cell>
          <cell r="B52" t="str">
            <v>PASTEUR</v>
          </cell>
          <cell r="C52" t="str">
            <v>CTA TGBT SECOUR</v>
          </cell>
          <cell r="E52">
            <v>23</v>
          </cell>
          <cell r="F52">
            <v>23.786742014168624</v>
          </cell>
          <cell r="G52">
            <v>13.6</v>
          </cell>
          <cell r="H52">
            <v>14.00232543447018</v>
          </cell>
          <cell r="I52">
            <v>54.2</v>
          </cell>
          <cell r="J52">
            <v>9.8000000000000007</v>
          </cell>
          <cell r="K52">
            <v>48.865853897535743</v>
          </cell>
          <cell r="L52">
            <v>0.85230988627198656</v>
          </cell>
          <cell r="M52">
            <v>1.1732821783565268</v>
          </cell>
          <cell r="N52">
            <v>1625.1960143743875</v>
          </cell>
          <cell r="O52">
            <v>2998.5166316870618</v>
          </cell>
          <cell r="P52">
            <v>99899.803985625607</v>
          </cell>
          <cell r="Q52">
            <v>1.17</v>
          </cell>
          <cell r="R52">
            <v>1555</v>
          </cell>
          <cell r="S52">
            <v>1824.4537873443992</v>
          </cell>
          <cell r="T52">
            <v>14.9</v>
          </cell>
          <cell r="U52">
            <v>15.558414775120866</v>
          </cell>
          <cell r="V52">
            <v>11.9</v>
          </cell>
          <cell r="W52">
            <v>12.50895846599434</v>
          </cell>
          <cell r="X52">
            <v>82</v>
          </cell>
          <cell r="Y52">
            <v>8.9</v>
          </cell>
          <cell r="Z52">
            <v>38.164065165213984</v>
          </cell>
          <cell r="AA52">
            <v>0.8250732639112216</v>
          </cell>
          <cell r="AB52">
            <v>1.2120135795693419</v>
          </cell>
          <cell r="AC52">
            <v>1478.1316261621271</v>
          </cell>
          <cell r="AD52">
            <v>1802.5995441001548</v>
          </cell>
          <cell r="AE52">
            <v>100346.86837383787</v>
          </cell>
          <cell r="AF52">
            <v>0.9</v>
          </cell>
          <cell r="AG52">
            <v>4252</v>
          </cell>
          <cell r="AH52">
            <v>5153.4817403288416</v>
          </cell>
          <cell r="AI52" t="str">
            <v xml:space="preserve">qm qi </v>
          </cell>
          <cell r="AK52">
            <v>-10.701788732321759</v>
          </cell>
          <cell r="AL52">
            <v>1.4315227056469004</v>
          </cell>
          <cell r="AM52">
            <v>-15.319853561354758</v>
          </cell>
          <cell r="AO52">
            <v>4252</v>
          </cell>
          <cell r="AP52">
            <v>3000</v>
          </cell>
          <cell r="AQ52">
            <v>-1252</v>
          </cell>
          <cell r="AR52">
            <v>-15.319853561354758</v>
          </cell>
          <cell r="AT52" t="str">
            <v/>
          </cell>
        </row>
        <row r="53">
          <cell r="A53">
            <v>44</v>
          </cell>
          <cell r="B53" t="str">
            <v>PASTEUR</v>
          </cell>
          <cell r="C53" t="str">
            <v>CTA 06 HALL RDC</v>
          </cell>
          <cell r="E53">
            <v>17.5</v>
          </cell>
          <cell r="F53">
            <v>18.250319692284165</v>
          </cell>
          <cell r="G53">
            <v>13.5</v>
          </cell>
          <cell r="H53">
            <v>14.00232543447018</v>
          </cell>
          <cell r="I53">
            <v>76.2</v>
          </cell>
          <cell r="J53">
            <v>9.8000000000000007</v>
          </cell>
          <cell r="K53">
            <v>43.196922843799292</v>
          </cell>
          <cell r="L53">
            <v>0.83641846290850852</v>
          </cell>
          <cell r="M53">
            <v>1.1955737998927756</v>
          </cell>
          <cell r="N53">
            <v>1625.1960143743875</v>
          </cell>
          <cell r="O53">
            <v>2132.8031684703246</v>
          </cell>
          <cell r="P53">
            <v>99899.803985625607</v>
          </cell>
          <cell r="Q53">
            <v>3.1</v>
          </cell>
          <cell r="R53">
            <v>13250</v>
          </cell>
          <cell r="S53">
            <v>15841.352848579276</v>
          </cell>
          <cell r="T53">
            <v>13.5</v>
          </cell>
          <cell r="U53">
            <v>13.739368572461132</v>
          </cell>
          <cell r="V53">
            <v>10.7</v>
          </cell>
          <cell r="W53">
            <v>10.879650679262681</v>
          </cell>
          <cell r="X53">
            <v>82.8</v>
          </cell>
          <cell r="Y53">
            <v>8</v>
          </cell>
          <cell r="Z53">
            <v>34.030949139796725</v>
          </cell>
          <cell r="AA53">
            <v>0.81870519997081304</v>
          </cell>
          <cell r="AB53">
            <v>1.2214408801063559</v>
          </cell>
          <cell r="AC53">
            <v>1326.7100977198697</v>
          </cell>
          <cell r="AD53">
            <v>1602.3068813041905</v>
          </cell>
          <cell r="AE53">
            <v>100498.28990228013</v>
          </cell>
          <cell r="AF53">
            <v>3</v>
          </cell>
          <cell r="AG53">
            <v>12300</v>
          </cell>
          <cell r="AH53">
            <v>15023.722825308178</v>
          </cell>
          <cell r="AI53" t="str">
            <v xml:space="preserve">qi </v>
          </cell>
          <cell r="AK53">
            <v>-9.1659737040025675</v>
          </cell>
          <cell r="AL53">
            <v>4.1732563403633822</v>
          </cell>
          <cell r="AM53">
            <v>-38.251957875832751</v>
          </cell>
          <cell r="AO53">
            <v>12300</v>
          </cell>
          <cell r="AP53">
            <v>15000</v>
          </cell>
          <cell r="AQ53">
            <v>2700</v>
          </cell>
          <cell r="AR53">
            <v>-38.251957875832751</v>
          </cell>
          <cell r="AT53" t="str">
            <v/>
          </cell>
        </row>
        <row r="54">
          <cell r="A54">
            <v>45</v>
          </cell>
          <cell r="B54" t="str">
            <v>RASPAIL</v>
          </cell>
          <cell r="C54" t="str">
            <v>CLIM INFO N°1</v>
          </cell>
          <cell r="E54">
            <v>20.2</v>
          </cell>
          <cell r="F54">
            <v>20.389760536400473</v>
          </cell>
          <cell r="G54">
            <v>13.2</v>
          </cell>
          <cell r="H54">
            <v>13.680954828813128</v>
          </cell>
          <cell r="I54">
            <v>65.3</v>
          </cell>
          <cell r="J54">
            <v>9.6</v>
          </cell>
          <cell r="K54">
            <v>44.879906412722356</v>
          </cell>
          <cell r="L54">
            <v>0.84229267186426582</v>
          </cell>
          <cell r="M54">
            <v>1.1872357832422749</v>
          </cell>
          <cell r="N54">
            <v>1591.508817766166</v>
          </cell>
          <cell r="O54">
            <v>2437.2263671763644</v>
          </cell>
          <cell r="P54">
            <v>99933.491182233833</v>
          </cell>
          <cell r="T54">
            <v>15.3</v>
          </cell>
          <cell r="U54">
            <v>16.061750349615608</v>
          </cell>
          <cell r="V54">
            <v>12.2</v>
          </cell>
          <cell r="W54">
            <v>12.681129889002136</v>
          </cell>
          <cell r="X54">
            <v>80.3</v>
          </cell>
          <cell r="Y54">
            <v>9</v>
          </cell>
          <cell r="Z54">
            <v>38.931657879971475</v>
          </cell>
          <cell r="AA54">
            <v>0.82664270560690389</v>
          </cell>
          <cell r="AB54">
            <v>1.2097124830561721</v>
          </cell>
          <cell r="AC54">
            <v>1494.9836867862969</v>
          </cell>
          <cell r="AD54">
            <v>1861.7480532830596</v>
          </cell>
          <cell r="AE54">
            <v>100330.01631321371</v>
          </cell>
          <cell r="AF54">
            <v>2.2999999999999998</v>
          </cell>
          <cell r="AG54">
            <v>7280</v>
          </cell>
          <cell r="AH54">
            <v>8806.7068766489319</v>
          </cell>
          <cell r="AI54" t="str">
            <v xml:space="preserve">qm </v>
          </cell>
          <cell r="AK54">
            <v>-5.9482485327508812</v>
          </cell>
          <cell r="AL54">
            <v>2.4463074657358144</v>
          </cell>
          <cell r="AM54">
            <v>-14.551244793720585</v>
          </cell>
          <cell r="AO54">
            <v>7280</v>
          </cell>
          <cell r="AP54">
            <v>8000</v>
          </cell>
          <cell r="AQ54">
            <v>720</v>
          </cell>
          <cell r="AR54">
            <v>-14.551244793720585</v>
          </cell>
          <cell r="AT54" t="str">
            <v/>
          </cell>
        </row>
        <row r="55">
          <cell r="A55">
            <v>46</v>
          </cell>
          <cell r="B55" t="str">
            <v>RASPAIL</v>
          </cell>
          <cell r="C55" t="str">
            <v>CLIM INFO N°2</v>
          </cell>
          <cell r="E55">
            <v>20.2</v>
          </cell>
          <cell r="F55">
            <v>20.414548007393989</v>
          </cell>
          <cell r="G55">
            <v>13.2</v>
          </cell>
          <cell r="H55">
            <v>13.680954828813128</v>
          </cell>
          <cell r="I55">
            <v>65.2</v>
          </cell>
          <cell r="J55">
            <v>9.6</v>
          </cell>
          <cell r="K55">
            <v>44.905278074832253</v>
          </cell>
          <cell r="L55">
            <v>0.84236379785119764</v>
          </cell>
          <cell r="M55">
            <v>1.1871355375799859</v>
          </cell>
          <cell r="N55">
            <v>1591.508817766166</v>
          </cell>
          <cell r="O55">
            <v>2440.9644444266346</v>
          </cell>
          <cell r="P55">
            <v>99933.491182233833</v>
          </cell>
          <cell r="T55">
            <v>16.100000000000001</v>
          </cell>
          <cell r="U55">
            <v>16.332867357438033</v>
          </cell>
          <cell r="V55">
            <v>12.6</v>
          </cell>
          <cell r="W55">
            <v>13.020599431983129</v>
          </cell>
          <cell r="X55">
            <v>80.7</v>
          </cell>
          <cell r="Y55">
            <v>9.1999999999999993</v>
          </cell>
          <cell r="Z55">
            <v>39.715044716412486</v>
          </cell>
          <cell r="AA55">
            <v>0.82767988479698595</v>
          </cell>
          <cell r="AB55">
            <v>1.2081965725738049</v>
          </cell>
          <cell r="AC55">
            <v>1528.704308093995</v>
          </cell>
          <cell r="AD55">
            <v>1894.3052144906999</v>
          </cell>
          <cell r="AE55">
            <v>100296.29569190601</v>
          </cell>
          <cell r="AF55">
            <v>3.6</v>
          </cell>
          <cell r="AG55">
            <v>6999</v>
          </cell>
          <cell r="AH55">
            <v>8456.1678114440601</v>
          </cell>
          <cell r="AI55" t="str">
            <v xml:space="preserve">qm </v>
          </cell>
          <cell r="AK55">
            <v>-5.1902333584197677</v>
          </cell>
          <cell r="AL55">
            <v>2.3489355031789056</v>
          </cell>
          <cell r="AM55">
            <v>-12.191523405375678</v>
          </cell>
          <cell r="AO55">
            <v>6999</v>
          </cell>
          <cell r="AP55">
            <v>8000</v>
          </cell>
          <cell r="AQ55">
            <v>1001</v>
          </cell>
          <cell r="AR55">
            <v>-12.191523405375678</v>
          </cell>
          <cell r="AT55" t="str">
            <v/>
          </cell>
        </row>
        <row r="56">
          <cell r="A56">
            <v>47</v>
          </cell>
          <cell r="B56" t="str">
            <v>RASPAIL</v>
          </cell>
          <cell r="C56" t="str">
            <v>CLIM INFO N°3</v>
          </cell>
          <cell r="E56">
            <v>20.2</v>
          </cell>
          <cell r="F56">
            <v>20.389760536400473</v>
          </cell>
          <cell r="G56">
            <v>13.2</v>
          </cell>
          <cell r="H56">
            <v>13.680954828813128</v>
          </cell>
          <cell r="I56">
            <v>65.3</v>
          </cell>
          <cell r="J56">
            <v>9.6</v>
          </cell>
          <cell r="K56">
            <v>44.879906412722356</v>
          </cell>
          <cell r="L56">
            <v>0.84229267186426582</v>
          </cell>
          <cell r="M56">
            <v>1.1872357832422749</v>
          </cell>
          <cell r="N56">
            <v>1591.508817766166</v>
          </cell>
          <cell r="O56">
            <v>2437.2263671763644</v>
          </cell>
          <cell r="P56">
            <v>99933.491182233833</v>
          </cell>
          <cell r="T56">
            <v>15.8</v>
          </cell>
          <cell r="U56">
            <v>16.197726354350067</v>
          </cell>
          <cell r="V56">
            <v>12.6</v>
          </cell>
          <cell r="W56">
            <v>13.020599431983129</v>
          </cell>
          <cell r="X56">
            <v>81.400000000000006</v>
          </cell>
          <cell r="Y56">
            <v>9.1999999999999993</v>
          </cell>
          <cell r="Z56">
            <v>39.576817633377999</v>
          </cell>
          <cell r="AA56">
            <v>0.82729349408969366</v>
          </cell>
          <cell r="AB56">
            <v>1.2087608655744873</v>
          </cell>
          <cell r="AC56">
            <v>1528.7043080939945</v>
          </cell>
          <cell r="AD56">
            <v>1878.0151205085929</v>
          </cell>
          <cell r="AE56">
            <v>100296.29569190601</v>
          </cell>
          <cell r="AF56">
            <v>2.5</v>
          </cell>
          <cell r="AG56">
            <v>7560</v>
          </cell>
          <cell r="AH56">
            <v>9138.2321437431237</v>
          </cell>
          <cell r="AI56" t="str">
            <v xml:space="preserve">qm </v>
          </cell>
          <cell r="AK56">
            <v>-5.3030887793443569</v>
          </cell>
          <cell r="AL56">
            <v>2.5383978177064233</v>
          </cell>
          <cell r="AM56">
            <v>-13.461348984591135</v>
          </cell>
          <cell r="AO56">
            <v>7560</v>
          </cell>
          <cell r="AP56">
            <v>8000</v>
          </cell>
          <cell r="AQ56">
            <v>440</v>
          </cell>
          <cell r="AR56">
            <v>-13.461348984591135</v>
          </cell>
          <cell r="AT56" t="str">
            <v/>
          </cell>
        </row>
        <row r="57">
          <cell r="A57">
            <v>48</v>
          </cell>
          <cell r="B57" t="str">
            <v>RASPAIL</v>
          </cell>
          <cell r="C57" t="str">
            <v>REMI CLIM N°1</v>
          </cell>
          <cell r="E57">
            <v>23</v>
          </cell>
          <cell r="F57">
            <v>22.967976686532722</v>
          </cell>
          <cell r="G57">
            <v>16.2</v>
          </cell>
          <cell r="H57">
            <v>16.80408922305412</v>
          </cell>
          <cell r="I57">
            <v>68.2</v>
          </cell>
          <cell r="J57">
            <v>11.7</v>
          </cell>
          <cell r="K57">
            <v>52.859251895487269</v>
          </cell>
          <cell r="L57">
            <v>0.8525158177073846</v>
          </cell>
          <cell r="M57">
            <v>1.1729987634589996</v>
          </cell>
          <cell r="N57">
            <v>1946.3255775847945</v>
          </cell>
          <cell r="O57">
            <v>2853.8498205055635</v>
          </cell>
          <cell r="P57">
            <v>99578.674422415206</v>
          </cell>
          <cell r="T57">
            <v>17.3</v>
          </cell>
          <cell r="U57">
            <v>22.604427808589293</v>
          </cell>
          <cell r="V57">
            <v>15.8</v>
          </cell>
          <cell r="W57">
            <v>16.388846437470875</v>
          </cell>
          <cell r="X57">
            <v>67.900000000000006</v>
          </cell>
          <cell r="Y57">
            <v>11.4</v>
          </cell>
          <cell r="Z57">
            <v>51.723027948383617</v>
          </cell>
          <cell r="AA57">
            <v>0.84855863848459145</v>
          </cell>
          <cell r="AB57">
            <v>1.1784689409159299</v>
          </cell>
          <cell r="AC57">
            <v>1901.089092695709</v>
          </cell>
          <cell r="AD57">
            <v>2799.8366608184224</v>
          </cell>
          <cell r="AE57">
            <v>99923.910907304293</v>
          </cell>
          <cell r="AF57">
            <v>2.1</v>
          </cell>
          <cell r="AG57">
            <v>6500</v>
          </cell>
          <cell r="AH57">
            <v>7660.0481159535448</v>
          </cell>
          <cell r="AI57" t="str">
            <v xml:space="preserve">Ts qm qi </v>
          </cell>
          <cell r="AK57">
            <v>-1.1362239471036517</v>
          </cell>
          <cell r="AL57">
            <v>2.1277911433204291</v>
          </cell>
          <cell r="AM57">
            <v>-2.4176472514757297</v>
          </cell>
          <cell r="AO57">
            <v>6500</v>
          </cell>
          <cell r="AP57">
            <v>2700</v>
          </cell>
          <cell r="AQ57">
            <v>-3800</v>
          </cell>
          <cell r="AR57">
            <v>-2.4176472514757297</v>
          </cell>
          <cell r="AT57" t="str">
            <v/>
          </cell>
        </row>
        <row r="58">
          <cell r="A58">
            <v>49</v>
          </cell>
          <cell r="B58" t="str">
            <v>RASPAIL</v>
          </cell>
          <cell r="C58" t="str">
            <v>REMI CLIM N°2</v>
          </cell>
          <cell r="E58">
            <v>24</v>
          </cell>
          <cell r="F58">
            <v>22.967976686532722</v>
          </cell>
          <cell r="G58">
            <v>16.2</v>
          </cell>
          <cell r="H58">
            <v>16.80408922305412</v>
          </cell>
          <cell r="I58">
            <v>68.2</v>
          </cell>
          <cell r="J58">
            <v>11.7</v>
          </cell>
          <cell r="K58">
            <v>52.859251895487269</v>
          </cell>
          <cell r="L58">
            <v>0.8525158177073846</v>
          </cell>
          <cell r="M58">
            <v>1.1729987634589996</v>
          </cell>
          <cell r="N58">
            <v>1946.3255775847945</v>
          </cell>
          <cell r="O58">
            <v>2853.8498205055635</v>
          </cell>
          <cell r="P58">
            <v>99578.674422415206</v>
          </cell>
          <cell r="T58">
            <v>16.7</v>
          </cell>
          <cell r="U58">
            <v>23.208462258839262</v>
          </cell>
          <cell r="V58">
            <v>15.8</v>
          </cell>
          <cell r="W58">
            <v>16.940488043186292</v>
          </cell>
          <cell r="X58">
            <v>67.8</v>
          </cell>
          <cell r="Y58">
            <v>11.8</v>
          </cell>
          <cell r="Z58">
            <v>53.36067656640968</v>
          </cell>
          <cell r="AA58">
            <v>0.8508286631616091</v>
          </cell>
          <cell r="AB58">
            <v>1.1753247666622826</v>
          </cell>
          <cell r="AC58">
            <v>1969.0839069157655</v>
          </cell>
          <cell r="AD58">
            <v>2904.253550023253</v>
          </cell>
          <cell r="AE58">
            <v>99855.916093084234</v>
          </cell>
          <cell r="AF58">
            <v>3.9</v>
          </cell>
          <cell r="AG58">
            <v>6980</v>
          </cell>
          <cell r="AH58">
            <v>8203.7668713027324</v>
          </cell>
          <cell r="AI58" t="str">
            <v xml:space="preserve">Ts qm qi Ev </v>
          </cell>
          <cell r="AK58">
            <v>0.50142467092241105</v>
          </cell>
          <cell r="AL58">
            <v>2.2788241309174255</v>
          </cell>
          <cell r="AM58">
            <v>1.1426586399353194</v>
          </cell>
          <cell r="AO58">
            <v>6980</v>
          </cell>
          <cell r="AP58">
            <v>2700</v>
          </cell>
          <cell r="AQ58">
            <v>-4280</v>
          </cell>
          <cell r="AR58">
            <v>1.1426586399353194</v>
          </cell>
          <cell r="AT58" t="str">
            <v/>
          </cell>
        </row>
        <row r="59">
          <cell r="A59">
            <v>50</v>
          </cell>
          <cell r="B59" t="str">
            <v>RASPAIL</v>
          </cell>
          <cell r="C59" t="str">
            <v>ONDULEUR CLIM N°1</v>
          </cell>
          <cell r="E59">
            <v>18.7</v>
          </cell>
          <cell r="F59">
            <v>18.934279588698587</v>
          </cell>
          <cell r="G59">
            <v>13.5</v>
          </cell>
          <cell r="H59">
            <v>14.00232543447018</v>
          </cell>
          <cell r="I59">
            <v>73</v>
          </cell>
          <cell r="J59">
            <v>9.8000000000000007</v>
          </cell>
          <cell r="K59">
            <v>43.897252636374503</v>
          </cell>
          <cell r="L59">
            <v>0.83838166145905968</v>
          </cell>
          <cell r="M59">
            <v>1.1927741814624993</v>
          </cell>
          <cell r="N59">
            <v>1625.1960143743875</v>
          </cell>
          <cell r="O59">
            <v>2226.2959101019005</v>
          </cell>
          <cell r="P59">
            <v>99899.803985625607</v>
          </cell>
          <cell r="T59">
            <v>14.3</v>
          </cell>
          <cell r="U59">
            <v>19.915807673119247</v>
          </cell>
          <cell r="V59">
            <v>15.2</v>
          </cell>
          <cell r="W59">
            <v>15.529600225649318</v>
          </cell>
          <cell r="X59">
            <v>75.8</v>
          </cell>
          <cell r="Y59">
            <v>10.8</v>
          </cell>
          <cell r="Z59">
            <v>47.439718542009494</v>
          </cell>
          <cell r="AA59">
            <v>0.84004812528741879</v>
          </cell>
          <cell r="AB59">
            <v>1.1904079896111361</v>
          </cell>
          <cell r="AC59">
            <v>1799.2637434554972</v>
          </cell>
          <cell r="AD59">
            <v>2373.6988699940598</v>
          </cell>
          <cell r="AE59">
            <v>100025.73625654451</v>
          </cell>
          <cell r="AF59">
            <v>2.9</v>
          </cell>
          <cell r="AG59">
            <v>9250</v>
          </cell>
          <cell r="AH59">
            <v>11011.273903903009</v>
          </cell>
          <cell r="AI59" t="str">
            <v xml:space="preserve">Ts qm Ev </v>
          </cell>
          <cell r="AK59">
            <v>3.542465905634991</v>
          </cell>
          <cell r="AL59">
            <v>3.0586871955286137</v>
          </cell>
          <cell r="AM59">
            <v>10.835295106162421</v>
          </cell>
          <cell r="AO59">
            <v>9250</v>
          </cell>
          <cell r="AP59">
            <v>10000</v>
          </cell>
          <cell r="AQ59">
            <v>750</v>
          </cell>
          <cell r="AR59">
            <v>10.835295106162421</v>
          </cell>
          <cell r="AT59" t="str">
            <v/>
          </cell>
        </row>
        <row r="60">
          <cell r="A60">
            <v>51</v>
          </cell>
          <cell r="B60" t="str">
            <v>RASPAIL</v>
          </cell>
          <cell r="C60" t="str">
            <v>ONDULEUR CLIM N°2</v>
          </cell>
          <cell r="E60">
            <v>18.2</v>
          </cell>
          <cell r="F60">
            <v>18.988219807770577</v>
          </cell>
          <cell r="G60">
            <v>13.5</v>
          </cell>
          <cell r="H60">
            <v>13.842350133741036</v>
          </cell>
          <cell r="I60">
            <v>72</v>
          </cell>
          <cell r="J60">
            <v>9.6999999999999993</v>
          </cell>
          <cell r="K60">
            <v>43.698909016424935</v>
          </cell>
          <cell r="L60">
            <v>0.83840376648966031</v>
          </cell>
          <cell r="M60">
            <v>1.1927427332381058</v>
          </cell>
          <cell r="N60">
            <v>1608.3496651967989</v>
          </cell>
          <cell r="O60">
            <v>2233.8189794399987</v>
          </cell>
          <cell r="P60">
            <v>99916.650334803198</v>
          </cell>
          <cell r="T60">
            <v>15.3</v>
          </cell>
          <cell r="U60">
            <v>15.960605768590028</v>
          </cell>
          <cell r="V60">
            <v>11.9</v>
          </cell>
          <cell r="W60">
            <v>12.335116480469139</v>
          </cell>
          <cell r="X60">
            <v>79</v>
          </cell>
          <cell r="Y60">
            <v>8.8000000000000007</v>
          </cell>
          <cell r="Z60">
            <v>38.322198998498948</v>
          </cell>
          <cell r="AA60">
            <v>0.82609168924731236</v>
          </cell>
          <cell r="AB60">
            <v>1.2105193806163852</v>
          </cell>
          <cell r="AC60">
            <v>1461.2850619699934</v>
          </cell>
          <cell r="AD60">
            <v>1849.7279265442955</v>
          </cell>
          <cell r="AE60">
            <v>100363.71493803001</v>
          </cell>
          <cell r="AF60">
            <v>2.2999999999999998</v>
          </cell>
          <cell r="AG60">
            <v>9200</v>
          </cell>
          <cell r="AH60">
            <v>11136.778301670744</v>
          </cell>
          <cell r="AI60" t="str">
            <v xml:space="preserve">qm </v>
          </cell>
          <cell r="AK60">
            <v>-5.376710017925987</v>
          </cell>
          <cell r="AL60">
            <v>3.0935495282418732</v>
          </cell>
          <cell r="AM60">
            <v>-16.633118739448292</v>
          </cell>
          <cell r="AO60">
            <v>9200</v>
          </cell>
          <cell r="AP60">
            <v>10000</v>
          </cell>
          <cell r="AQ60">
            <v>800</v>
          </cell>
          <cell r="AR60">
            <v>-16.633118739448292</v>
          </cell>
          <cell r="AT60" t="str">
            <v/>
          </cell>
        </row>
        <row r="61">
          <cell r="A61">
            <v>52</v>
          </cell>
          <cell r="B61" t="str">
            <v>RASPAIL</v>
          </cell>
          <cell r="C61" t="str">
            <v>REPARTITEUR CLIM N°1</v>
          </cell>
          <cell r="E61">
            <v>17.399999999999999</v>
          </cell>
          <cell r="F61">
            <v>17.725219851021649</v>
          </cell>
          <cell r="G61">
            <v>12.9</v>
          </cell>
          <cell r="H61">
            <v>13.353791136628161</v>
          </cell>
          <cell r="I61">
            <v>75.5</v>
          </cell>
          <cell r="J61">
            <v>9.4</v>
          </cell>
          <cell r="K61">
            <v>41.645880402005048</v>
          </cell>
          <cell r="L61">
            <v>0.83438265486864704</v>
          </cell>
          <cell r="M61">
            <v>1.198490877255143</v>
          </cell>
          <cell r="N61">
            <v>1557.8436173685927</v>
          </cell>
          <cell r="O61">
            <v>2063.3690296272753</v>
          </cell>
          <cell r="P61">
            <v>99967.156382631409</v>
          </cell>
          <cell r="T61">
            <v>15.2</v>
          </cell>
          <cell r="U61">
            <v>15.513468811311895</v>
          </cell>
          <cell r="V61">
            <v>11.9</v>
          </cell>
          <cell r="W61">
            <v>12.335116480469139</v>
          </cell>
          <cell r="X61">
            <v>81.3</v>
          </cell>
          <cell r="Y61">
            <v>8.8000000000000007</v>
          </cell>
          <cell r="Z61">
            <v>37.865178525917138</v>
          </cell>
          <cell r="AA61">
            <v>0.82481406014276648</v>
          </cell>
          <cell r="AB61">
            <v>1.2123944635799622</v>
          </cell>
          <cell r="AC61">
            <v>1461.2850619699934</v>
          </cell>
          <cell r="AD61">
            <v>1797.3986002090942</v>
          </cell>
          <cell r="AE61">
            <v>100363.71493803001</v>
          </cell>
          <cell r="AF61">
            <v>2.1</v>
          </cell>
          <cell r="AG61">
            <v>5480</v>
          </cell>
          <cell r="AH61">
            <v>6643.9216604181929</v>
          </cell>
          <cell r="AI61" t="str">
            <v xml:space="preserve">qm qi </v>
          </cell>
          <cell r="AK61">
            <v>-3.7807018760879103</v>
          </cell>
          <cell r="AL61">
            <v>1.8455337945606092</v>
          </cell>
          <cell r="AM61">
            <v>-6.9774130794789349</v>
          </cell>
          <cell r="AO61">
            <v>5480</v>
          </cell>
          <cell r="AP61">
            <v>2700</v>
          </cell>
          <cell r="AQ61">
            <v>-2780</v>
          </cell>
          <cell r="AR61">
            <v>-6.9774130794789349</v>
          </cell>
          <cell r="AT61" t="str">
            <v/>
          </cell>
        </row>
        <row r="62">
          <cell r="A62">
            <v>53</v>
          </cell>
          <cell r="B62" t="str">
            <v>RASPAIL</v>
          </cell>
          <cell r="C62" t="str">
            <v>REPARTITEUR CLIM N°2</v>
          </cell>
          <cell r="E62">
            <v>17.399999999999999</v>
          </cell>
          <cell r="F62">
            <v>17.832603479885677</v>
          </cell>
          <cell r="G62">
            <v>13</v>
          </cell>
          <cell r="H62">
            <v>13.518111466521219</v>
          </cell>
          <cell r="I62">
            <v>75.8</v>
          </cell>
          <cell r="J62">
            <v>9.5</v>
          </cell>
          <cell r="K62">
            <v>42.009118912262807</v>
          </cell>
          <cell r="L62">
            <v>0.8348228842388864</v>
          </cell>
          <cell r="M62">
            <v>1.1978588738756326</v>
          </cell>
          <cell r="N62">
            <v>1574.6734693877549</v>
          </cell>
          <cell r="O62">
            <v>2077.4056324376716</v>
          </cell>
          <cell r="P62">
            <v>99950.326530612248</v>
          </cell>
          <cell r="T62">
            <v>15.9</v>
          </cell>
          <cell r="U62">
            <v>16.520380906861817</v>
          </cell>
          <cell r="V62">
            <v>12.8</v>
          </cell>
          <cell r="W62">
            <v>13.353791136628104</v>
          </cell>
          <cell r="X62">
            <v>81.5</v>
          </cell>
          <cell r="Y62">
            <v>9.4</v>
          </cell>
          <cell r="Z62">
            <v>40.413086784662823</v>
          </cell>
          <cell r="AA62">
            <v>0.82847844322571329</v>
          </cell>
          <cell r="AB62">
            <v>1.2070320093139186</v>
          </cell>
          <cell r="AC62">
            <v>1562.4469474371531</v>
          </cell>
          <cell r="AD62">
            <v>1917.1128189412921</v>
          </cell>
          <cell r="AE62">
            <v>100262.55305256284</v>
          </cell>
          <cell r="AF62">
            <v>1.9</v>
          </cell>
          <cell r="AG62">
            <v>6000</v>
          </cell>
          <cell r="AH62">
            <v>7242.1920558835118</v>
          </cell>
          <cell r="AI62" t="str">
            <v xml:space="preserve">qm qi </v>
          </cell>
          <cell r="AK62">
            <v>-1.5960321275999831</v>
          </cell>
          <cell r="AL62">
            <v>2.0117200155231978</v>
          </cell>
          <cell r="AM62">
            <v>-3.2107697765109604</v>
          </cell>
          <cell r="AO62">
            <v>6000</v>
          </cell>
          <cell r="AP62">
            <v>2700</v>
          </cell>
          <cell r="AQ62">
            <v>-3300</v>
          </cell>
          <cell r="AR62">
            <v>-3.2107697765109604</v>
          </cell>
          <cell r="AT62" t="str">
            <v/>
          </cell>
        </row>
        <row r="63">
          <cell r="A63">
            <v>54</v>
          </cell>
          <cell r="B63" t="str">
            <v>RASPAIL</v>
          </cell>
          <cell r="C63" t="str">
            <v>TGBT CLIM NORMALE</v>
          </cell>
          <cell r="E63">
            <v>18.7</v>
          </cell>
          <cell r="F63">
            <v>19.400332085291524</v>
          </cell>
          <cell r="G63">
            <v>12</v>
          </cell>
          <cell r="H63">
            <v>12.508958465994453</v>
          </cell>
          <cell r="I63">
            <v>64.3</v>
          </cell>
          <cell r="J63">
            <v>8.9</v>
          </cell>
          <cell r="K63">
            <v>42.091607286476417</v>
          </cell>
          <cell r="L63">
            <v>0.83852320986354534</v>
          </cell>
          <cell r="M63">
            <v>1.1925728330915635</v>
          </cell>
          <cell r="N63">
            <v>1473.7767085304192</v>
          </cell>
          <cell r="O63">
            <v>2292.0322061126271</v>
          </cell>
          <cell r="P63">
            <v>100051.22329146958</v>
          </cell>
          <cell r="Q63">
            <v>2.9</v>
          </cell>
          <cell r="R63">
            <v>9500</v>
          </cell>
          <cell r="S63">
            <v>11329.441914369852</v>
          </cell>
          <cell r="T63">
            <v>16.3</v>
          </cell>
          <cell r="U63">
            <v>17.55965244200712</v>
          </cell>
          <cell r="V63">
            <v>11.5</v>
          </cell>
          <cell r="W63">
            <v>12.681129889002136</v>
          </cell>
          <cell r="X63">
            <v>73</v>
          </cell>
          <cell r="Y63">
            <v>9</v>
          </cell>
          <cell r="Z63">
            <v>40.463217832379016</v>
          </cell>
          <cell r="AA63">
            <v>0.83092410094057156</v>
          </cell>
          <cell r="AB63">
            <v>1.2034793537316364</v>
          </cell>
          <cell r="AC63">
            <v>1494.9836867862969</v>
          </cell>
          <cell r="AD63">
            <v>2047.9228586113657</v>
          </cell>
          <cell r="AE63">
            <v>100330.01631321371</v>
          </cell>
          <cell r="AF63">
            <v>2.7</v>
          </cell>
          <cell r="AG63">
            <v>9300</v>
          </cell>
          <cell r="AH63">
            <v>11192.357989704218</v>
          </cell>
          <cell r="AI63" t="str">
            <v xml:space="preserve">qi Ev </v>
          </cell>
          <cell r="AK63">
            <v>-1.6283894540974018</v>
          </cell>
          <cell r="AL63">
            <v>3.1089883304733941</v>
          </cell>
          <cell r="AM63">
            <v>-5.0626438102547624</v>
          </cell>
          <cell r="AO63">
            <v>9300</v>
          </cell>
          <cell r="AP63">
            <v>2700</v>
          </cell>
          <cell r="AQ63">
            <v>-6600</v>
          </cell>
          <cell r="AR63">
            <v>-5.0626438102547624</v>
          </cell>
          <cell r="AT63" t="str">
            <v/>
          </cell>
        </row>
        <row r="64">
          <cell r="A64">
            <v>55</v>
          </cell>
          <cell r="B64" t="str">
            <v>RASPAIL</v>
          </cell>
          <cell r="C64" t="str">
            <v>TGBT CLIM SECOUR</v>
          </cell>
          <cell r="E64">
            <v>18.600000000000001</v>
          </cell>
          <cell r="F64">
            <v>19.291492826101063</v>
          </cell>
          <cell r="G64">
            <v>11.9</v>
          </cell>
          <cell r="H64">
            <v>12.335116480469196</v>
          </cell>
          <cell r="I64">
            <v>64</v>
          </cell>
          <cell r="J64">
            <v>8.8000000000000007</v>
          </cell>
          <cell r="K64">
            <v>41.726711983529199</v>
          </cell>
          <cell r="L64">
            <v>0.83807838942645374</v>
          </cell>
          <cell r="M64">
            <v>1.1932058058248689</v>
          </cell>
          <cell r="N64">
            <v>1456.979778212655</v>
          </cell>
          <cell r="O64">
            <v>2276.5309034572733</v>
          </cell>
          <cell r="P64">
            <v>100068.02022178734</v>
          </cell>
          <cell r="Q64">
            <v>2</v>
          </cell>
          <cell r="R64">
            <v>7925</v>
          </cell>
          <cell r="S64">
            <v>9456.1560111620856</v>
          </cell>
          <cell r="T64">
            <v>17.5</v>
          </cell>
          <cell r="U64">
            <v>19.550850072484764</v>
          </cell>
          <cell r="V64">
            <v>12</v>
          </cell>
          <cell r="W64">
            <v>12.50895846599434</v>
          </cell>
          <cell r="X64">
            <v>63.7</v>
          </cell>
          <cell r="Y64">
            <v>8.9</v>
          </cell>
          <cell r="Z64">
            <v>42.245479868050232</v>
          </cell>
          <cell r="AA64">
            <v>0.83648287808653465</v>
          </cell>
          <cell r="AB64">
            <v>1.1954817321395901</v>
          </cell>
          <cell r="AC64">
            <v>1478.1316261621271</v>
          </cell>
          <cell r="AD64">
            <v>2320.4578118714708</v>
          </cell>
          <cell r="AE64">
            <v>100346.86837383787</v>
          </cell>
          <cell r="AF64">
            <v>1.9</v>
          </cell>
          <cell r="AG64">
            <v>7900</v>
          </cell>
          <cell r="AH64">
            <v>9444.3056839027613</v>
          </cell>
          <cell r="AI64" t="str">
            <v xml:space="preserve">Ts qi Ev </v>
          </cell>
          <cell r="AK64">
            <v>0.51876788452103284</v>
          </cell>
          <cell r="AL64">
            <v>2.6234182455285446</v>
          </cell>
          <cell r="AM64">
            <v>1.3609451334467226</v>
          </cell>
          <cell r="AO64">
            <v>7900</v>
          </cell>
          <cell r="AP64">
            <v>2700</v>
          </cell>
          <cell r="AQ64">
            <v>-5200</v>
          </cell>
          <cell r="AR64">
            <v>1.3609451334467226</v>
          </cell>
          <cell r="AT64" t="str">
            <v/>
          </cell>
        </row>
        <row r="65">
          <cell r="A65">
            <v>56</v>
          </cell>
          <cell r="B65" t="str">
            <v>RASPAIL</v>
          </cell>
          <cell r="C65" t="str">
            <v>CTA HT</v>
          </cell>
          <cell r="T65">
            <v>16.100000000000001</v>
          </cell>
          <cell r="U65">
            <v>15.518632760005715</v>
          </cell>
          <cell r="V65">
            <v>11.6</v>
          </cell>
          <cell r="W65">
            <v>11.982275530217265</v>
          </cell>
          <cell r="X65">
            <v>79.400000000000006</v>
          </cell>
          <cell r="Y65">
            <v>8.6</v>
          </cell>
          <cell r="Z65">
            <v>37.364576798942721</v>
          </cell>
          <cell r="AA65">
            <v>0.82456729704754539</v>
          </cell>
          <cell r="AB65">
            <v>1.2127572892844658</v>
          </cell>
          <cell r="AC65">
            <v>1427.6084121291165</v>
          </cell>
          <cell r="AD65">
            <v>1797.9954812709273</v>
          </cell>
          <cell r="AE65">
            <v>100397.39158787088</v>
          </cell>
          <cell r="AF65">
            <v>4.3</v>
          </cell>
          <cell r="AG65">
            <v>8550</v>
          </cell>
          <cell r="AH65">
            <v>10369.074823382183</v>
          </cell>
          <cell r="AI65" t="str">
            <v xml:space="preserve">qm </v>
          </cell>
          <cell r="AK65">
            <v>37.364576798942721</v>
          </cell>
          <cell r="AL65">
            <v>2.8802985620506063</v>
          </cell>
          <cell r="AM65">
            <v>107.62113682562416</v>
          </cell>
          <cell r="AO65">
            <v>8550</v>
          </cell>
          <cell r="AP65">
            <v>9000</v>
          </cell>
          <cell r="AQ65">
            <v>450</v>
          </cell>
          <cell r="AR65">
            <v>107.62113682562416</v>
          </cell>
          <cell r="AS65">
            <v>-46</v>
          </cell>
          <cell r="AT65">
            <v>-153.62113682562415</v>
          </cell>
        </row>
        <row r="66">
          <cell r="A66">
            <v>57</v>
          </cell>
          <cell r="B66" t="str">
            <v>RASPAIL</v>
          </cell>
          <cell r="C66" t="str">
            <v>CTA RESTAURANT</v>
          </cell>
          <cell r="E66">
            <v>24.5</v>
          </cell>
          <cell r="F66">
            <v>25.933534822694156</v>
          </cell>
          <cell r="G66">
            <v>20</v>
          </cell>
          <cell r="H66">
            <v>20.636035069197959</v>
          </cell>
          <cell r="I66">
            <v>72.599999999999994</v>
          </cell>
          <cell r="J66">
            <v>14.8</v>
          </cell>
          <cell r="K66">
            <v>63.806319888768172</v>
          </cell>
          <cell r="L66">
            <v>0.8652657731426866</v>
          </cell>
          <cell r="M66">
            <v>1.1557142684240846</v>
          </cell>
          <cell r="N66">
            <v>2474.588274044796</v>
          </cell>
          <cell r="O66">
            <v>3408.5237934501324</v>
          </cell>
          <cell r="P66">
            <v>99050.4117259552</v>
          </cell>
          <cell r="Q66">
            <v>1.5</v>
          </cell>
          <cell r="R66">
            <v>21500</v>
          </cell>
          <cell r="S66">
            <v>24847.856771117818</v>
          </cell>
          <cell r="T66">
            <v>15</v>
          </cell>
          <cell r="U66">
            <v>22.570952513570774</v>
          </cell>
          <cell r="V66">
            <v>18.899999999999999</v>
          </cell>
          <cell r="W66">
            <v>19.599706925948283</v>
          </cell>
          <cell r="X66">
            <v>83.3</v>
          </cell>
          <cell r="Y66">
            <v>13.9</v>
          </cell>
          <cell r="Z66">
            <v>58.044415547739895</v>
          </cell>
          <cell r="AA66">
            <v>0.85181143536603809</v>
          </cell>
          <cell r="AB66">
            <v>1.1739687429416614</v>
          </cell>
          <cell r="AC66">
            <v>2327.5242558789673</v>
          </cell>
          <cell r="AD66">
            <v>2794.1467657610656</v>
          </cell>
          <cell r="AE66">
            <v>99497.475744121039</v>
          </cell>
          <cell r="AF66">
            <v>2</v>
          </cell>
          <cell r="AG66">
            <v>21000</v>
          </cell>
          <cell r="AH66">
            <v>24653.34360177489</v>
          </cell>
          <cell r="AI66" t="str">
            <v xml:space="preserve">Ts </v>
          </cell>
          <cell r="AK66">
            <v>-5.7619043410282771</v>
          </cell>
          <cell r="AL66">
            <v>6.8481510004930248</v>
          </cell>
          <cell r="AM66">
            <v>-39.458390977757901</v>
          </cell>
          <cell r="AO66">
            <v>21000</v>
          </cell>
          <cell r="AP66">
            <v>23900</v>
          </cell>
          <cell r="AQ66">
            <v>2900</v>
          </cell>
          <cell r="AR66">
            <v>-39.458390977757901</v>
          </cell>
          <cell r="AT66" t="str">
            <v/>
          </cell>
        </row>
        <row r="67">
          <cell r="A67">
            <v>58</v>
          </cell>
          <cell r="B67" t="str">
            <v>RASPAIL</v>
          </cell>
          <cell r="C67" t="str">
            <v>CTA BUREAUX</v>
          </cell>
          <cell r="E67">
            <v>14.7</v>
          </cell>
          <cell r="F67">
            <v>15.905886285794708</v>
          </cell>
          <cell r="G67">
            <v>10.9</v>
          </cell>
          <cell r="H67">
            <v>11.254878180560951</v>
          </cell>
          <cell r="I67">
            <v>73.8</v>
          </cell>
          <cell r="J67">
            <v>8.1999999999999993</v>
          </cell>
          <cell r="K67">
            <v>36.748205333114115</v>
          </cell>
          <cell r="L67">
            <v>0.82758799439928943</v>
          </cell>
          <cell r="M67">
            <v>1.2083307234608411</v>
          </cell>
          <cell r="N67">
            <v>1356.3131313131314</v>
          </cell>
          <cell r="O67">
            <v>1837.8226711560046</v>
          </cell>
          <cell r="P67">
            <v>100168.68686868687</v>
          </cell>
          <cell r="Q67">
            <v>5</v>
          </cell>
          <cell r="R67">
            <v>120000</v>
          </cell>
          <cell r="S67">
            <v>144999.68681530093</v>
          </cell>
          <cell r="T67">
            <v>14.1</v>
          </cell>
          <cell r="U67">
            <v>14.708859722123634</v>
          </cell>
          <cell r="V67">
            <v>11.1</v>
          </cell>
          <cell r="W67">
            <v>11.439544077719205</v>
          </cell>
          <cell r="X67">
            <v>80.7</v>
          </cell>
          <cell r="Y67">
            <v>8.3000000000000007</v>
          </cell>
          <cell r="Z67">
            <v>35.778825750775717</v>
          </cell>
          <cell r="AA67">
            <v>0.82186304438815427</v>
          </cell>
          <cell r="AB67">
            <v>1.216747737750469</v>
          </cell>
          <cell r="AC67">
            <v>1377.1345934495682</v>
          </cell>
          <cell r="AD67">
            <v>1706.4864850676186</v>
          </cell>
          <cell r="AE67">
            <v>100447.86540655044</v>
          </cell>
          <cell r="AF67">
            <v>6.9</v>
          </cell>
          <cell r="AG67">
            <v>148000</v>
          </cell>
          <cell r="AH67">
            <v>180078.66518706942</v>
          </cell>
          <cell r="AI67" t="str">
            <v xml:space="preserve">qm qi Ev </v>
          </cell>
          <cell r="AK67">
            <v>-0.96937958233839794</v>
          </cell>
          <cell r="AL67">
            <v>50.021851440852615</v>
          </cell>
          <cell r="AM67">
            <v>-48.490161457527094</v>
          </cell>
          <cell r="AO67">
            <v>148000</v>
          </cell>
          <cell r="AP67">
            <v>16000</v>
          </cell>
          <cell r="AQ67">
            <v>-132000</v>
          </cell>
          <cell r="AR67">
            <v>-48.490161457527094</v>
          </cell>
          <cell r="AT67" t="str">
            <v/>
          </cell>
        </row>
        <row r="68">
          <cell r="A68">
            <v>59</v>
          </cell>
          <cell r="B68" t="str">
            <v>Vaugirard</v>
          </cell>
          <cell r="C68" t="str">
            <v>CTA INDUCTEUR</v>
          </cell>
          <cell r="E68">
            <v>22.9</v>
          </cell>
          <cell r="F68">
            <v>25.357995965694073</v>
          </cell>
          <cell r="G68">
            <v>23.1</v>
          </cell>
          <cell r="H68">
            <v>24.125490813395487</v>
          </cell>
          <cell r="I68">
            <v>92.9</v>
          </cell>
          <cell r="J68">
            <v>18.2</v>
          </cell>
          <cell r="K68">
            <v>71.872917355121643</v>
          </cell>
          <cell r="L68">
            <v>0.86821163972923443</v>
          </cell>
          <cell r="M68">
            <v>1.1517928973076954</v>
          </cell>
          <cell r="N68">
            <v>3060.2103345478636</v>
          </cell>
          <cell r="O68">
            <v>3294.0907799223501</v>
          </cell>
          <cell r="P68">
            <v>98464.789665452132</v>
          </cell>
          <cell r="Q68">
            <v>1.04</v>
          </cell>
          <cell r="R68">
            <v>5700</v>
          </cell>
          <cell r="S68">
            <v>6565.2195146538634</v>
          </cell>
          <cell r="T68">
            <v>16</v>
          </cell>
          <cell r="U68">
            <v>25.412591628133697</v>
          </cell>
          <cell r="V68">
            <v>21.9</v>
          </cell>
          <cell r="W68">
            <v>22.861665452766488</v>
          </cell>
          <cell r="X68">
            <v>85.8</v>
          </cell>
          <cell r="Y68">
            <v>16.899999999999999</v>
          </cell>
          <cell r="Z68">
            <v>68.61790239918578</v>
          </cell>
          <cell r="AA68">
            <v>0.86405388006186912</v>
          </cell>
          <cell r="AB68">
            <v>1.1573352346133747</v>
          </cell>
          <cell r="AC68">
            <v>2843.8977028590311</v>
          </cell>
          <cell r="AD68">
            <v>3314.5660872482886</v>
          </cell>
          <cell r="AE68">
            <v>98981.102297140969</v>
          </cell>
          <cell r="AF68">
            <v>2.5499999999999998</v>
          </cell>
          <cell r="AG68">
            <v>16000</v>
          </cell>
          <cell r="AH68">
            <v>18517.363753813996</v>
          </cell>
          <cell r="AI68" t="str">
            <v xml:space="preserve">Ts qm qi Ev </v>
          </cell>
          <cell r="AK68">
            <v>-3.255014955935863</v>
          </cell>
          <cell r="AL68">
            <v>5.143712153837221</v>
          </cell>
          <cell r="AM68">
            <v>-16.742859989769226</v>
          </cell>
          <cell r="AO68">
            <v>16000</v>
          </cell>
          <cell r="AP68">
            <v>20000</v>
          </cell>
          <cell r="AQ68">
            <v>4000</v>
          </cell>
          <cell r="AR68">
            <v>-16.742859989769226</v>
          </cell>
          <cell r="AT68" t="str">
            <v/>
          </cell>
        </row>
        <row r="69">
          <cell r="A69">
            <v>60</v>
          </cell>
          <cell r="B69" t="str">
            <v>Vaugirard</v>
          </cell>
          <cell r="C69" t="str">
            <v>SALLE DES SPORTS</v>
          </cell>
          <cell r="E69">
            <v>16.899999999999999</v>
          </cell>
          <cell r="F69">
            <v>18.177340849724487</v>
          </cell>
          <cell r="G69">
            <v>15.1</v>
          </cell>
          <cell r="H69">
            <v>15.529600225649347</v>
          </cell>
          <cell r="I69">
            <v>84.5</v>
          </cell>
          <cell r="J69">
            <v>10.8</v>
          </cell>
          <cell r="K69">
            <v>45.65646185937679</v>
          </cell>
          <cell r="L69">
            <v>0.83753252302845438</v>
          </cell>
          <cell r="M69">
            <v>1.1939834842282608</v>
          </cell>
          <cell r="N69">
            <v>1793.9626963350786</v>
          </cell>
          <cell r="O69">
            <v>2123.0327767279036</v>
          </cell>
          <cell r="P69">
            <v>99731.037303664925</v>
          </cell>
          <cell r="Q69">
            <v>0.77</v>
          </cell>
          <cell r="R69">
            <v>9000</v>
          </cell>
          <cell r="S69">
            <v>10745.851358054348</v>
          </cell>
          <cell r="T69">
            <v>15</v>
          </cell>
          <cell r="U69">
            <v>14.534335243825495</v>
          </cell>
          <cell r="V69">
            <v>12.7</v>
          </cell>
          <cell r="W69">
            <v>13.187964036180801</v>
          </cell>
          <cell r="X69">
            <v>91.6</v>
          </cell>
          <cell r="Y69">
            <v>9.3000000000000007</v>
          </cell>
          <cell r="Z69">
            <v>38.128201106803118</v>
          </cell>
          <cell r="AA69">
            <v>0.82266789428899889</v>
          </cell>
          <cell r="AB69">
            <v>1.215557343299829</v>
          </cell>
          <cell r="AC69">
            <v>1545.5728741635385</v>
          </cell>
          <cell r="AD69">
            <v>1687.3066311829023</v>
          </cell>
          <cell r="AE69">
            <v>100279.42712583646</v>
          </cell>
          <cell r="AF69">
            <v>5</v>
          </cell>
          <cell r="AG69">
            <v>8700</v>
          </cell>
          <cell r="AH69">
            <v>10575.348886708513</v>
          </cell>
          <cell r="AI69" t="str">
            <v/>
          </cell>
          <cell r="AK69">
            <v>-7.5282607525736722</v>
          </cell>
          <cell r="AL69">
            <v>2.9375969129745867</v>
          </cell>
          <cell r="AM69">
            <v>-22.114995546828158</v>
          </cell>
          <cell r="AO69">
            <v>8700</v>
          </cell>
          <cell r="AP69">
            <v>10000</v>
          </cell>
          <cell r="AQ69">
            <v>1300</v>
          </cell>
          <cell r="AR69">
            <v>-22.114995546828158</v>
          </cell>
          <cell r="AT69" t="str">
            <v/>
          </cell>
        </row>
        <row r="70">
          <cell r="A70">
            <v>61</v>
          </cell>
          <cell r="B70" t="str">
            <v>Vaugirard</v>
          </cell>
          <cell r="C70" t="str">
            <v>RESTAURANT</v>
          </cell>
          <cell r="E70">
            <v>18.2</v>
          </cell>
          <cell r="F70">
            <v>18.982567857251297</v>
          </cell>
          <cell r="G70">
            <v>14.1</v>
          </cell>
          <cell r="H70">
            <v>14.628559512146012</v>
          </cell>
          <cell r="I70">
            <v>75.8</v>
          </cell>
          <cell r="J70">
            <v>10.199999999999999</v>
          </cell>
          <cell r="K70">
            <v>44.960991876018255</v>
          </cell>
          <cell r="L70">
            <v>0.83905114231330358</v>
          </cell>
          <cell r="M70">
            <v>1.1918224641741775</v>
          </cell>
          <cell r="N70">
            <v>1692.6364825106243</v>
          </cell>
          <cell r="O70">
            <v>2233.0296603042539</v>
          </cell>
          <cell r="P70">
            <v>99832.363517489372</v>
          </cell>
          <cell r="Q70">
            <v>3.7</v>
          </cell>
          <cell r="R70">
            <v>10000</v>
          </cell>
          <cell r="S70">
            <v>11918.224641741775</v>
          </cell>
          <cell r="T70">
            <v>13.9</v>
          </cell>
          <cell r="U70">
            <v>14.241744694896511</v>
          </cell>
          <cell r="V70">
            <v>12.1</v>
          </cell>
          <cell r="W70">
            <v>12.681129889002136</v>
          </cell>
          <cell r="X70">
            <v>90.3</v>
          </cell>
          <cell r="Y70">
            <v>9</v>
          </cell>
          <cell r="Z70">
            <v>37.070756698190834</v>
          </cell>
          <cell r="AA70">
            <v>0.8214406541798156</v>
          </cell>
          <cell r="AB70">
            <v>1.2173733974713861</v>
          </cell>
          <cell r="AC70">
            <v>1494.9836867862966</v>
          </cell>
          <cell r="AD70">
            <v>1655.5744039715357</v>
          </cell>
          <cell r="AE70">
            <v>100330.01631321371</v>
          </cell>
          <cell r="AF70">
            <v>1.6</v>
          </cell>
          <cell r="AG70">
            <v>13500</v>
          </cell>
          <cell r="AH70">
            <v>16434.540865863713</v>
          </cell>
          <cell r="AI70" t="str">
            <v xml:space="preserve">qm </v>
          </cell>
          <cell r="AK70">
            <v>-7.8902351778274209</v>
          </cell>
          <cell r="AL70">
            <v>4.5651502405176982</v>
          </cell>
          <cell r="AM70">
            <v>-36.020109019800053</v>
          </cell>
          <cell r="AO70">
            <v>13500</v>
          </cell>
          <cell r="AP70">
            <v>14000</v>
          </cell>
          <cell r="AQ70">
            <v>500</v>
          </cell>
          <cell r="AR70">
            <v>-36.020109019800053</v>
          </cell>
          <cell r="AS70">
            <v>-113.34</v>
          </cell>
          <cell r="AT70">
            <v>-77.319890980199943</v>
          </cell>
        </row>
        <row r="71">
          <cell r="A71">
            <v>62</v>
          </cell>
          <cell r="B71" t="str">
            <v>Vaugirard</v>
          </cell>
          <cell r="C71" t="str">
            <v>CLIM Médiathèque</v>
          </cell>
          <cell r="E71">
            <v>25</v>
          </cell>
          <cell r="F71">
            <v>25.588967897124263</v>
          </cell>
          <cell r="G71">
            <v>14.5</v>
          </cell>
          <cell r="H71">
            <v>15.084583813109646</v>
          </cell>
          <cell r="I71">
            <v>52.2</v>
          </cell>
          <cell r="J71">
            <v>10.5</v>
          </cell>
          <cell r="K71">
            <v>52.494693722650254</v>
          </cell>
          <cell r="L71">
            <v>0.85843293456971193</v>
          </cell>
          <cell r="M71">
            <v>1.164913366821426</v>
          </cell>
          <cell r="N71">
            <v>1743.2747342600164</v>
          </cell>
          <cell r="O71">
            <v>3339.606770613058</v>
          </cell>
          <cell r="P71">
            <v>99781.72526573998</v>
          </cell>
          <cell r="T71">
            <v>20.9</v>
          </cell>
          <cell r="U71">
            <v>20.467375989372414</v>
          </cell>
          <cell r="V71">
            <v>13</v>
          </cell>
          <cell r="W71">
            <v>13.518111466521219</v>
          </cell>
          <cell r="X71">
            <v>64.3</v>
          </cell>
          <cell r="Y71">
            <v>9.5</v>
          </cell>
          <cell r="Z71">
            <v>44.705505576883894</v>
          </cell>
          <cell r="AA71">
            <v>0.8399001382135528</v>
          </cell>
          <cell r="AB71">
            <v>1.1906177347785365</v>
          </cell>
          <cell r="AC71">
            <v>1579.3265306122446</v>
          </cell>
          <cell r="AD71">
            <v>2456.184339987939</v>
          </cell>
          <cell r="AE71">
            <v>100245.67346938775</v>
          </cell>
          <cell r="AF71">
            <v>12</v>
          </cell>
          <cell r="AG71">
            <v>4000</v>
          </cell>
          <cell r="AH71">
            <v>4762.4709391141459</v>
          </cell>
          <cell r="AI71" t="str">
            <v xml:space="preserve">qm qi </v>
          </cell>
          <cell r="AK71">
            <v>-7.7891881457663601</v>
          </cell>
          <cell r="AL71">
            <v>1.3229085941983738</v>
          </cell>
          <cell r="AM71">
            <v>-10.304383939862413</v>
          </cell>
          <cell r="AO71">
            <v>4000</v>
          </cell>
          <cell r="AQ71" t="str">
            <v/>
          </cell>
          <cell r="AR71">
            <v>-10.304383939862413</v>
          </cell>
          <cell r="AT71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P162"/>
  <sheetViews>
    <sheetView showGridLines="0" tabSelected="1" zoomScale="75" zoomScaleNormal="75" workbookViewId="0">
      <selection activeCell="G13" sqref="G13"/>
    </sheetView>
  </sheetViews>
  <sheetFormatPr baseColWidth="10" defaultRowHeight="13.8" x14ac:dyDescent="0.25"/>
  <cols>
    <col min="1" max="1" width="4.33203125" style="77" customWidth="1"/>
    <col min="2" max="2" width="34.109375" style="77" customWidth="1"/>
    <col min="3" max="6" width="15.44140625" style="77" customWidth="1"/>
    <col min="7" max="7" width="20.44140625" style="77" customWidth="1"/>
    <col min="8" max="12" width="15.44140625" style="77" customWidth="1"/>
    <col min="13" max="13" width="11.5546875" style="77"/>
    <col min="14" max="14" width="15.109375" style="77" bestFit="1" customWidth="1"/>
    <col min="15" max="16384" width="11.5546875" style="77"/>
  </cols>
  <sheetData>
    <row r="1" spans="2:13" ht="28.2" x14ac:dyDescent="0.5">
      <c r="B1" s="76" t="s">
        <v>14</v>
      </c>
    </row>
    <row r="2" spans="2:13" x14ac:dyDescent="0.25">
      <c r="K2" s="82" t="s">
        <v>43</v>
      </c>
      <c r="L2" s="83">
        <v>101325</v>
      </c>
    </row>
    <row r="3" spans="2:13" ht="10.5" customHeight="1" x14ac:dyDescent="0.25">
      <c r="B3" s="281"/>
      <c r="C3" s="281"/>
      <c r="D3" s="282"/>
      <c r="E3" s="283"/>
      <c r="F3" s="281"/>
      <c r="G3" s="282"/>
      <c r="H3" s="283"/>
      <c r="I3" s="282"/>
      <c r="J3" s="284"/>
      <c r="K3" s="284"/>
      <c r="L3" s="283"/>
    </row>
    <row r="4" spans="2:13" ht="19.2" customHeight="1" x14ac:dyDescent="0.25">
      <c r="B4" s="285" t="s">
        <v>0</v>
      </c>
      <c r="C4" s="286" t="s">
        <v>1</v>
      </c>
      <c r="D4" s="287" t="s">
        <v>2</v>
      </c>
      <c r="E4" s="288"/>
      <c r="F4" s="286" t="s">
        <v>3</v>
      </c>
      <c r="G4" s="289" t="s">
        <v>4</v>
      </c>
      <c r="H4" s="290"/>
      <c r="I4" s="289" t="s">
        <v>5</v>
      </c>
      <c r="J4" s="291"/>
      <c r="K4" s="291"/>
      <c r="L4" s="290"/>
    </row>
    <row r="5" spans="2:13" ht="19.2" customHeight="1" x14ac:dyDescent="0.25">
      <c r="B5" s="292"/>
      <c r="C5" s="286"/>
      <c r="D5" s="287"/>
      <c r="E5" s="288"/>
      <c r="F5" s="292"/>
      <c r="G5" s="293" t="s">
        <v>15</v>
      </c>
      <c r="H5" s="288"/>
      <c r="I5" s="287"/>
      <c r="J5" s="294"/>
      <c r="K5" s="294"/>
      <c r="L5" s="288"/>
    </row>
    <row r="6" spans="2:13" ht="19.2" customHeight="1" x14ac:dyDescent="0.25">
      <c r="B6" s="295"/>
      <c r="C6" s="296"/>
      <c r="D6" s="287" t="s">
        <v>6</v>
      </c>
      <c r="E6" s="288" t="s">
        <v>7</v>
      </c>
      <c r="F6" s="286" t="s">
        <v>8</v>
      </c>
      <c r="G6" s="287" t="s">
        <v>9</v>
      </c>
      <c r="H6" s="288" t="s">
        <v>7</v>
      </c>
      <c r="I6" s="287" t="s">
        <v>10</v>
      </c>
      <c r="J6" s="294" t="s">
        <v>11</v>
      </c>
      <c r="K6" s="294" t="s">
        <v>12</v>
      </c>
      <c r="L6" s="288" t="s">
        <v>13</v>
      </c>
    </row>
    <row r="7" spans="2:13" ht="19.2" customHeight="1" x14ac:dyDescent="0.25">
      <c r="B7" s="295"/>
      <c r="C7" s="297"/>
      <c r="D7" s="298"/>
      <c r="E7" s="299" t="s">
        <v>16</v>
      </c>
      <c r="F7" s="297"/>
      <c r="G7" s="298"/>
      <c r="H7" s="299" t="s">
        <v>17</v>
      </c>
      <c r="I7" s="298"/>
      <c r="J7" s="300"/>
      <c r="K7" s="300"/>
      <c r="L7" s="301"/>
    </row>
    <row r="8" spans="2:13" ht="14.4" customHeight="1" x14ac:dyDescent="0.25">
      <c r="B8" s="302"/>
      <c r="C8" s="281"/>
      <c r="D8" s="284"/>
      <c r="E8" s="303"/>
      <c r="F8" s="281"/>
      <c r="G8" s="284"/>
      <c r="H8" s="304"/>
      <c r="I8" s="282"/>
      <c r="J8" s="284"/>
      <c r="K8" s="284"/>
      <c r="L8" s="283"/>
    </row>
    <row r="9" spans="2:13" ht="14.4" customHeight="1" x14ac:dyDescent="0.25">
      <c r="B9" s="251" t="s">
        <v>280</v>
      </c>
      <c r="C9" s="305">
        <v>23.5</v>
      </c>
      <c r="D9" s="211">
        <f>((22.41/273)*(C9+273))*((1/29)+((1/18)*G9))</f>
        <v>0.85144766862447907</v>
      </c>
      <c r="E9" s="272">
        <f>D9*F9</f>
        <v>71521.604164456236</v>
      </c>
      <c r="F9" s="306">
        <v>84000</v>
      </c>
      <c r="G9" s="307">
        <v>8.9999999999999993E-3</v>
      </c>
      <c r="H9" s="308">
        <f>F9*G9</f>
        <v>755.99999999999989</v>
      </c>
      <c r="I9" s="225">
        <f>(((1.005+(1.88*G9))*C9)+(2500*G9))</f>
        <v>46.515119999999996</v>
      </c>
      <c r="J9" s="216">
        <f>I9/4.1855</f>
        <v>11.113396248954723</v>
      </c>
      <c r="K9" s="276">
        <f>I9*F9</f>
        <v>3907270.0799999996</v>
      </c>
      <c r="L9" s="217">
        <f>K9/4.1855</f>
        <v>933525.28491219669</v>
      </c>
      <c r="M9" s="78"/>
    </row>
    <row r="10" spans="2:13" ht="14.4" customHeight="1" x14ac:dyDescent="0.25">
      <c r="B10" s="196"/>
      <c r="C10" s="197"/>
      <c r="D10" s="198"/>
      <c r="E10" s="198"/>
      <c r="F10" s="197"/>
      <c r="G10" s="199"/>
      <c r="H10" s="198"/>
      <c r="I10" s="200"/>
      <c r="J10" s="201"/>
      <c r="K10" s="201"/>
      <c r="L10" s="202"/>
      <c r="M10" s="78"/>
    </row>
    <row r="11" spans="2:13" ht="14.4" customHeight="1" x14ac:dyDescent="0.25">
      <c r="B11" s="203"/>
      <c r="C11" s="204"/>
      <c r="D11" s="205"/>
      <c r="E11" s="205"/>
      <c r="F11" s="204"/>
      <c r="G11" s="205"/>
      <c r="H11" s="205"/>
      <c r="I11" s="206"/>
      <c r="J11" s="207"/>
      <c r="K11" s="207"/>
      <c r="L11" s="208"/>
      <c r="M11" s="78"/>
    </row>
    <row r="12" spans="2:13" ht="14.4" customHeight="1" x14ac:dyDescent="0.25">
      <c r="B12" s="209" t="s">
        <v>281</v>
      </c>
      <c r="C12" s="309">
        <v>75</v>
      </c>
      <c r="D12" s="211">
        <f>((22.41/273)*(C12+273))*((1/29)+((1/18)*G12))</f>
        <v>0.99933824175824182</v>
      </c>
      <c r="E12" s="212">
        <f>D12*F12</f>
        <v>19986.764835164835</v>
      </c>
      <c r="F12" s="310">
        <v>20000</v>
      </c>
      <c r="G12" s="199">
        <f>G9</f>
        <v>8.9999999999999993E-3</v>
      </c>
      <c r="H12" s="217">
        <f>F12*G12</f>
        <v>180</v>
      </c>
      <c r="I12" s="225">
        <f>(((1.005+(1.88*G12))*C12)+(2500*G12))</f>
        <v>99.143999999999991</v>
      </c>
      <c r="J12" s="216">
        <f>I12/4.1855</f>
        <v>23.687492533747459</v>
      </c>
      <c r="K12" s="212">
        <f>F12*I12</f>
        <v>1982879.9999999998</v>
      </c>
      <c r="L12" s="217">
        <f>K12/4.1855</f>
        <v>473749.85067494912</v>
      </c>
      <c r="M12" s="78"/>
    </row>
    <row r="13" spans="2:13" ht="14.4" customHeight="1" x14ac:dyDescent="0.25">
      <c r="B13" s="209" t="s">
        <v>278</v>
      </c>
      <c r="C13" s="311">
        <v>87</v>
      </c>
      <c r="D13" s="211">
        <f>((22.41/273)*(C13+273))*((1/29)+((1/18)*G13))</f>
        <v>1.0929014778325123</v>
      </c>
      <c r="E13" s="212">
        <f>D13*F13</f>
        <v>91803.724137931044</v>
      </c>
      <c r="F13" s="310">
        <v>84000</v>
      </c>
      <c r="G13" s="312">
        <v>4.4999999999999998E-2</v>
      </c>
      <c r="H13" s="217">
        <f>F13*G13</f>
        <v>3780</v>
      </c>
      <c r="I13" s="225">
        <f>(((1.005+(1.88*G13))*C13)+(2500*G13))</f>
        <v>207.29519999999999</v>
      </c>
      <c r="J13" s="216">
        <f>I13/4.1855</f>
        <v>49.52698602317524</v>
      </c>
      <c r="K13" s="212">
        <f>F13*I13</f>
        <v>17412796.800000001</v>
      </c>
      <c r="L13" s="217">
        <f>K13/4.1855</f>
        <v>4160266.8259467208</v>
      </c>
      <c r="M13" s="78"/>
    </row>
    <row r="14" spans="2:13" ht="14.4" customHeight="1" x14ac:dyDescent="0.25">
      <c r="B14" s="226"/>
      <c r="C14" s="227"/>
      <c r="D14" s="211"/>
      <c r="E14" s="212"/>
      <c r="F14" s="228"/>
      <c r="G14" s="229"/>
      <c r="H14" s="217"/>
      <c r="I14" s="225"/>
      <c r="J14" s="216"/>
      <c r="K14" s="212"/>
      <c r="L14" s="217"/>
      <c r="M14" s="78"/>
    </row>
    <row r="15" spans="2:13" ht="14.4" customHeight="1" x14ac:dyDescent="0.25">
      <c r="B15" s="203"/>
      <c r="C15" s="230"/>
      <c r="D15" s="193"/>
      <c r="E15" s="231"/>
      <c r="F15" s="232"/>
      <c r="G15" s="233"/>
      <c r="H15" s="195"/>
      <c r="I15" s="234"/>
      <c r="J15" s="194"/>
      <c r="K15" s="231"/>
      <c r="L15" s="195"/>
      <c r="M15" s="78"/>
    </row>
    <row r="16" spans="2:13" ht="14.4" customHeight="1" x14ac:dyDescent="0.25">
      <c r="B16" s="209" t="s">
        <v>279</v>
      </c>
      <c r="C16" s="235">
        <f>(I16-(2487*G16))/((1.005+(1.88*G16)))</f>
        <v>85.269270342107546</v>
      </c>
      <c r="D16" s="236">
        <f>((22.41/273)*(C16+273))*((1/29)+((1/18)*G16))</f>
        <v>1.0763358884152758</v>
      </c>
      <c r="E16" s="237">
        <f>D16*F16</f>
        <v>111938.93239518869</v>
      </c>
      <c r="F16" s="238">
        <f>F12+F13</f>
        <v>104000</v>
      </c>
      <c r="G16" s="239">
        <f>H16/F16</f>
        <v>3.8076923076923078E-2</v>
      </c>
      <c r="H16" s="237">
        <f>SUM(H12:H14)</f>
        <v>3960</v>
      </c>
      <c r="I16" s="240">
        <f>K16/F16</f>
        <v>186.49689230769232</v>
      </c>
      <c r="J16" s="241">
        <f>I16/4.1855</f>
        <v>44.557852659823752</v>
      </c>
      <c r="K16" s="242">
        <f>SUM(K12:K13)</f>
        <v>19395676.800000001</v>
      </c>
      <c r="L16" s="237">
        <f>J16*F16</f>
        <v>4634016.6766216699</v>
      </c>
      <c r="M16" s="78"/>
    </row>
    <row r="17" spans="2:15" ht="14.4" customHeight="1" x14ac:dyDescent="0.25">
      <c r="B17" s="313"/>
      <c r="C17" s="314"/>
      <c r="D17" s="315"/>
      <c r="E17" s="316"/>
      <c r="F17" s="317"/>
      <c r="G17" s="318"/>
      <c r="H17" s="319"/>
      <c r="I17" s="320"/>
      <c r="J17" s="321"/>
      <c r="K17" s="322"/>
      <c r="L17" s="323"/>
    </row>
    <row r="18" spans="2:15" ht="19.2" customHeight="1" x14ac:dyDescent="0.25">
      <c r="B18" s="79"/>
    </row>
    <row r="19" spans="2:15" ht="19.2" customHeight="1" x14ac:dyDescent="0.25">
      <c r="B19" s="32" t="s">
        <v>21</v>
      </c>
      <c r="C19" s="33"/>
      <c r="D19" s="33"/>
      <c r="E19" s="33"/>
      <c r="F19" s="34"/>
      <c r="G19" s="35"/>
      <c r="H19" s="35"/>
      <c r="I19" s="36"/>
      <c r="J19" s="37"/>
      <c r="K19" s="38"/>
      <c r="L19" s="39"/>
    </row>
    <row r="20" spans="2:15" ht="19.2" customHeight="1" x14ac:dyDescent="0.25">
      <c r="B20" s="40" t="s">
        <v>179</v>
      </c>
      <c r="C20" s="41"/>
      <c r="D20" s="41"/>
      <c r="E20" s="41"/>
      <c r="F20" s="42"/>
      <c r="G20" s="324">
        <f>G9</f>
        <v>8.9999999999999993E-3</v>
      </c>
      <c r="H20" s="42"/>
      <c r="I20" s="43">
        <f>100000*(G20/(G20+$C$64))</f>
        <v>1447.999993403394</v>
      </c>
      <c r="J20" s="42" t="s">
        <v>18</v>
      </c>
      <c r="K20" s="44" t="s">
        <v>23</v>
      </c>
      <c r="L20" s="45"/>
      <c r="N20" s="77" t="s">
        <v>185</v>
      </c>
    </row>
    <row r="21" spans="2:15" ht="19.2" customHeight="1" x14ac:dyDescent="0.25">
      <c r="B21" s="40" t="s">
        <v>29</v>
      </c>
      <c r="C21" s="41"/>
      <c r="D21" s="41"/>
      <c r="E21" s="41"/>
      <c r="F21" s="41"/>
      <c r="G21" s="73">
        <f>C9</f>
        <v>23.5</v>
      </c>
      <c r="H21" s="46"/>
      <c r="I21" s="47">
        <f>611.14*EXP(17.269*(((273.16+G21)-273.16)/((273.16+G21)-35.86)))</f>
        <v>2896.8815193735572</v>
      </c>
      <c r="J21" s="42" t="s">
        <v>18</v>
      </c>
      <c r="K21" s="44" t="s">
        <v>24</v>
      </c>
      <c r="L21" s="45"/>
      <c r="M21" s="330">
        <f>G21</f>
        <v>23.5</v>
      </c>
      <c r="N21" s="328">
        <f>(((1.005+(1.88*G20))*G21)+(2500*G20))</f>
        <v>46.515119999999996</v>
      </c>
    </row>
    <row r="22" spans="2:15" ht="19.2" customHeight="1" x14ac:dyDescent="0.25">
      <c r="B22" s="40" t="s">
        <v>142</v>
      </c>
      <c r="C22" s="41"/>
      <c r="D22" s="41"/>
      <c r="E22" s="41"/>
      <c r="F22" s="41"/>
      <c r="G22" s="73">
        <v>16.5</v>
      </c>
      <c r="H22" s="46"/>
      <c r="I22" s="47">
        <f>611.14*EXP(17.269*(((273.16+G22)-273.16)/((273.16+G22)-35.86)))</f>
        <v>1878.0986558497796</v>
      </c>
      <c r="J22" s="42" t="s">
        <v>18</v>
      </c>
      <c r="K22" s="44" t="s">
        <v>39</v>
      </c>
      <c r="L22" s="45"/>
      <c r="M22" s="330">
        <v>16.761809268211476</v>
      </c>
      <c r="N22" s="328">
        <f>(((1.005+(1.88*G25))*M22)+(2500*G25))</f>
        <v>46.519999999999982</v>
      </c>
    </row>
    <row r="23" spans="2:15" ht="19.2" customHeight="1" x14ac:dyDescent="0.25">
      <c r="B23" s="40" t="s">
        <v>143</v>
      </c>
      <c r="C23" s="41"/>
      <c r="D23" s="41"/>
      <c r="E23" s="41"/>
      <c r="F23" s="41"/>
      <c r="G23" s="73">
        <f>3928.5/(LN(101325*140974)-LN(I20))-231.667</f>
        <v>12.271323019064141</v>
      </c>
      <c r="H23" s="46"/>
      <c r="I23" s="47">
        <f>611.14*EXP(17.269*(((273.16+G23)-273.16)/((273.16+G23)-35.86)))</f>
        <v>1428.5796098592245</v>
      </c>
      <c r="J23" s="42" t="s">
        <v>18</v>
      </c>
      <c r="K23" s="44" t="s">
        <v>40</v>
      </c>
      <c r="L23" s="45"/>
      <c r="N23" s="329"/>
    </row>
    <row r="24" spans="2:15" ht="19.2" customHeight="1" x14ac:dyDescent="0.25">
      <c r="B24" s="40" t="s">
        <v>141</v>
      </c>
      <c r="C24" s="41"/>
      <c r="D24" s="41"/>
      <c r="E24" s="41"/>
      <c r="F24" s="41"/>
      <c r="G24" s="84">
        <f>(18/29)*(I21/($L$2-I21))</f>
        <v>1.8267791959156711E-2</v>
      </c>
      <c r="H24" s="46"/>
      <c r="I24" s="47"/>
      <c r="J24" s="41"/>
      <c r="K24" s="44" t="s">
        <v>140</v>
      </c>
      <c r="L24" s="45"/>
    </row>
    <row r="25" spans="2:15" ht="19.2" customHeight="1" x14ac:dyDescent="0.25">
      <c r="B25" s="40" t="s">
        <v>144</v>
      </c>
      <c r="C25" s="41"/>
      <c r="D25" s="41"/>
      <c r="E25" s="41"/>
      <c r="F25" s="41"/>
      <c r="G25" s="84">
        <f>(18/29)*(I22/($L$2-I22))</f>
        <v>1.1721998285748946E-2</v>
      </c>
      <c r="H25" s="46"/>
      <c r="I25" s="47"/>
      <c r="J25" s="41"/>
      <c r="K25" s="44" t="s">
        <v>139</v>
      </c>
      <c r="L25" s="45"/>
    </row>
    <row r="26" spans="2:15" ht="19.2" customHeight="1" x14ac:dyDescent="0.25">
      <c r="B26" s="49" t="s">
        <v>41</v>
      </c>
      <c r="C26" s="50"/>
      <c r="D26" s="50"/>
      <c r="E26" s="50"/>
      <c r="F26" s="74" t="s">
        <v>19</v>
      </c>
      <c r="G26" s="52"/>
      <c r="H26" s="52"/>
      <c r="I26" s="53">
        <f>I20/I21%</f>
        <v>49.984784801158177</v>
      </c>
      <c r="J26" s="51" t="s">
        <v>20</v>
      </c>
      <c r="K26" s="54" t="s">
        <v>25</v>
      </c>
      <c r="L26" s="48"/>
    </row>
    <row r="27" spans="2:15" ht="19.2" customHeight="1" x14ac:dyDescent="0.25">
      <c r="K27" s="80"/>
    </row>
    <row r="28" spans="2:15" ht="19.2" customHeight="1" x14ac:dyDescent="0.25">
      <c r="B28" s="32" t="s">
        <v>22</v>
      </c>
      <c r="C28" s="33"/>
      <c r="D28" s="33"/>
      <c r="E28" s="33"/>
      <c r="F28" s="34"/>
      <c r="G28" s="35"/>
      <c r="H28" s="35"/>
      <c r="I28" s="36"/>
      <c r="J28" s="37"/>
      <c r="K28" s="72"/>
      <c r="L28" s="39"/>
    </row>
    <row r="29" spans="2:15" ht="19.2" customHeight="1" x14ac:dyDescent="0.4">
      <c r="B29" s="40" t="s">
        <v>180</v>
      </c>
      <c r="C29" s="41"/>
      <c r="D29" s="41"/>
      <c r="E29" s="41"/>
      <c r="F29" s="42"/>
      <c r="G29" s="324">
        <f>G12</f>
        <v>8.9999999999999993E-3</v>
      </c>
      <c r="H29" s="42"/>
      <c r="I29" s="43">
        <f>I20</f>
        <v>1447.999993403394</v>
      </c>
      <c r="J29" s="42" t="s">
        <v>18</v>
      </c>
      <c r="K29" s="44" t="s">
        <v>23</v>
      </c>
      <c r="L29" s="45"/>
      <c r="O29" s="87"/>
    </row>
    <row r="30" spans="2:15" ht="19.2" customHeight="1" x14ac:dyDescent="0.4">
      <c r="B30" s="40" t="s">
        <v>29</v>
      </c>
      <c r="C30" s="41"/>
      <c r="D30" s="41"/>
      <c r="E30" s="41"/>
      <c r="F30" s="41"/>
      <c r="G30" s="73">
        <f>C12</f>
        <v>75</v>
      </c>
      <c r="H30" s="46"/>
      <c r="I30" s="47">
        <f>611.14*EXP(17.269*(((273.16+G30)-273.16)/((273.16+G30)-35.86)))</f>
        <v>38659.208631362992</v>
      </c>
      <c r="J30" s="42" t="s">
        <v>18</v>
      </c>
      <c r="K30" s="44" t="s">
        <v>24</v>
      </c>
      <c r="L30" s="45"/>
      <c r="O30" s="87"/>
    </row>
    <row r="31" spans="2:15" ht="19.2" customHeight="1" x14ac:dyDescent="0.4">
      <c r="B31" s="40" t="s">
        <v>142</v>
      </c>
      <c r="C31" s="41"/>
      <c r="D31" s="41"/>
      <c r="E31" s="41"/>
      <c r="F31" s="41"/>
      <c r="G31" s="73">
        <f>VLOOKUP(I12,'Air humide'!$H$2:$K$222,4)</f>
        <v>29.5</v>
      </c>
      <c r="H31" s="46"/>
      <c r="I31" s="47">
        <f>611.14*EXP(17.269*(((273.16+G31)-273.16)/((273.16+G31)-35.86)))</f>
        <v>4124.7243664798416</v>
      </c>
      <c r="J31" s="42" t="s">
        <v>18</v>
      </c>
      <c r="K31" s="44" t="s">
        <v>39</v>
      </c>
      <c r="L31" s="45"/>
      <c r="O31" s="87"/>
    </row>
    <row r="32" spans="2:15" ht="19.2" customHeight="1" x14ac:dyDescent="0.4">
      <c r="B32" s="40" t="s">
        <v>143</v>
      </c>
      <c r="C32" s="41"/>
      <c r="D32" s="41"/>
      <c r="E32" s="41"/>
      <c r="F32" s="41"/>
      <c r="G32" s="73">
        <f>3928.5/(LN(101325*140974)-LN(I29))-231.667</f>
        <v>12.271323019064141</v>
      </c>
      <c r="H32" s="46"/>
      <c r="I32" s="47">
        <f>611.14*EXP(17.269*(((273.16+G32)-273.16)/((273.16+G32)-35.86)))</f>
        <v>1428.5796098592245</v>
      </c>
      <c r="J32" s="42" t="s">
        <v>18</v>
      </c>
      <c r="K32" s="44" t="s">
        <v>40</v>
      </c>
      <c r="L32" s="45"/>
      <c r="O32" s="87"/>
    </row>
    <row r="33" spans="2:16" ht="19.2" customHeight="1" x14ac:dyDescent="0.4">
      <c r="B33" s="40" t="s">
        <v>141</v>
      </c>
      <c r="C33" s="41"/>
      <c r="D33" s="41"/>
      <c r="E33" s="41"/>
      <c r="F33" s="41"/>
      <c r="G33" s="84">
        <f>(18/29)*(I30/($L$2-I30))</f>
        <v>0.38291020268912312</v>
      </c>
      <c r="H33" s="46"/>
      <c r="I33" s="47"/>
      <c r="J33" s="41"/>
      <c r="K33" s="44" t="s">
        <v>140</v>
      </c>
      <c r="L33" s="45"/>
      <c r="O33" s="87"/>
      <c r="P33" s="165"/>
    </row>
    <row r="34" spans="2:16" ht="19.2" customHeight="1" x14ac:dyDescent="0.4">
      <c r="B34" s="40" t="s">
        <v>144</v>
      </c>
      <c r="C34" s="41"/>
      <c r="D34" s="41"/>
      <c r="E34" s="41"/>
      <c r="F34" s="41"/>
      <c r="G34" s="84">
        <f>(18/29)*(I31/($L$2-I31))</f>
        <v>2.6339161365801035E-2</v>
      </c>
      <c r="H34" s="46"/>
      <c r="I34" s="47"/>
      <c r="J34" s="41"/>
      <c r="K34" s="44" t="s">
        <v>139</v>
      </c>
      <c r="L34" s="45"/>
      <c r="O34" s="87"/>
    </row>
    <row r="35" spans="2:16" ht="19.2" customHeight="1" x14ac:dyDescent="0.4">
      <c r="B35" s="49" t="s">
        <v>41</v>
      </c>
      <c r="C35" s="50"/>
      <c r="D35" s="50"/>
      <c r="E35" s="50"/>
      <c r="F35" s="74" t="s">
        <v>19</v>
      </c>
      <c r="G35" s="52"/>
      <c r="H35" s="52"/>
      <c r="I35" s="53">
        <f>I29/I30%</f>
        <v>3.7455500116696063</v>
      </c>
      <c r="J35" s="51" t="s">
        <v>20</v>
      </c>
      <c r="K35" s="54" t="s">
        <v>25</v>
      </c>
      <c r="L35" s="48"/>
      <c r="O35" s="87"/>
    </row>
    <row r="36" spans="2:16" ht="19.2" customHeight="1" x14ac:dyDescent="0.4">
      <c r="K36" s="80"/>
      <c r="O36" s="87"/>
    </row>
    <row r="37" spans="2:16" ht="19.2" customHeight="1" x14ac:dyDescent="0.4">
      <c r="B37" s="32" t="s">
        <v>26</v>
      </c>
      <c r="C37" s="33"/>
      <c r="D37" s="33"/>
      <c r="E37" s="33"/>
      <c r="F37" s="34"/>
      <c r="G37" s="35"/>
      <c r="H37" s="35"/>
      <c r="I37" s="36"/>
      <c r="J37" s="37"/>
      <c r="K37" s="72"/>
      <c r="L37" s="39"/>
      <c r="O37" s="87"/>
    </row>
    <row r="38" spans="2:16" ht="19.2" customHeight="1" x14ac:dyDescent="0.4">
      <c r="B38" s="40" t="s">
        <v>181</v>
      </c>
      <c r="C38" s="41"/>
      <c r="D38" s="41"/>
      <c r="E38" s="41"/>
      <c r="F38" s="42"/>
      <c r="G38" s="324">
        <f>G13</f>
        <v>4.4999999999999998E-2</v>
      </c>
      <c r="H38" s="42"/>
      <c r="I38" s="43">
        <f>100000*(G38/(G38+$C$64))</f>
        <v>6843.6176353814617</v>
      </c>
      <c r="J38" s="42" t="s">
        <v>18</v>
      </c>
      <c r="K38" s="44" t="s">
        <v>23</v>
      </c>
      <c r="L38" s="45"/>
      <c r="O38" s="87"/>
    </row>
    <row r="39" spans="2:16" ht="19.2" customHeight="1" x14ac:dyDescent="0.4">
      <c r="B39" s="40" t="s">
        <v>29</v>
      </c>
      <c r="C39" s="41"/>
      <c r="D39" s="41"/>
      <c r="E39" s="41"/>
      <c r="F39" s="41"/>
      <c r="G39" s="73">
        <f>C13</f>
        <v>87</v>
      </c>
      <c r="H39" s="46"/>
      <c r="I39" s="47">
        <f>611.14*EXP(17.269*(((273.16+G39)-273.16)/((273.16+G39)-35.86)))</f>
        <v>62823.392318486331</v>
      </c>
      <c r="J39" s="42" t="s">
        <v>18</v>
      </c>
      <c r="K39" s="44" t="s">
        <v>24</v>
      </c>
      <c r="L39" s="45"/>
      <c r="O39" s="87"/>
    </row>
    <row r="40" spans="2:16" ht="19.2" customHeight="1" x14ac:dyDescent="0.4">
      <c r="B40" s="40" t="s">
        <v>142</v>
      </c>
      <c r="C40" s="41"/>
      <c r="D40" s="41"/>
      <c r="E40" s="41"/>
      <c r="F40" s="41"/>
      <c r="G40" s="73">
        <f>VLOOKUP(I13,'Air humide'!$H$2:$K$222,4)</f>
        <v>44.5</v>
      </c>
      <c r="H40" s="46"/>
      <c r="I40" s="47">
        <f>611.14*EXP(17.269*(((273.16+G40)-273.16)/((273.16+G40)-35.86)))</f>
        <v>9342.5340675363059</v>
      </c>
      <c r="J40" s="42" t="s">
        <v>18</v>
      </c>
      <c r="K40" s="44" t="s">
        <v>39</v>
      </c>
      <c r="L40" s="45"/>
      <c r="O40" s="87"/>
      <c r="P40" s="165"/>
    </row>
    <row r="41" spans="2:16" ht="19.2" customHeight="1" x14ac:dyDescent="0.4">
      <c r="B41" s="40" t="s">
        <v>143</v>
      </c>
      <c r="C41" s="41"/>
      <c r="D41" s="41"/>
      <c r="E41" s="41"/>
      <c r="F41" s="41"/>
      <c r="G41" s="73">
        <f>3928.5/(LN(101325*140974)-LN(I38))-231.667</f>
        <v>38.307998240207468</v>
      </c>
      <c r="H41" s="46"/>
      <c r="I41" s="47">
        <f>611.14*EXP(17.269*(((273.16+G41)-273.16)/((273.16+G41)-35.86)))</f>
        <v>6738.6994942455203</v>
      </c>
      <c r="J41" s="42" t="s">
        <v>18</v>
      </c>
      <c r="K41" s="44" t="s">
        <v>40</v>
      </c>
      <c r="L41" s="45"/>
      <c r="O41" s="87"/>
    </row>
    <row r="42" spans="2:16" ht="19.2" customHeight="1" x14ac:dyDescent="0.4">
      <c r="B42" s="40" t="s">
        <v>141</v>
      </c>
      <c r="C42" s="41"/>
      <c r="D42" s="41"/>
      <c r="E42" s="41"/>
      <c r="F42" s="41"/>
      <c r="G42" s="84">
        <f>(18/29)*(I39/($L$2-I39))</f>
        <v>1.0127844540280124</v>
      </c>
      <c r="H42" s="46"/>
      <c r="I42" s="47"/>
      <c r="J42" s="41"/>
      <c r="K42" s="44" t="s">
        <v>140</v>
      </c>
      <c r="L42" s="45"/>
      <c r="O42" s="87"/>
    </row>
    <row r="43" spans="2:16" ht="19.2" customHeight="1" x14ac:dyDescent="0.4">
      <c r="B43" s="40" t="s">
        <v>144</v>
      </c>
      <c r="C43" s="41"/>
      <c r="D43" s="41"/>
      <c r="E43" s="41"/>
      <c r="F43" s="41"/>
      <c r="G43" s="84">
        <f>(18/29)*(I40/($L$2-I40))</f>
        <v>6.30426048054996E-2</v>
      </c>
      <c r="H43" s="46"/>
      <c r="I43" s="47"/>
      <c r="J43" s="41"/>
      <c r="K43" s="44" t="s">
        <v>139</v>
      </c>
      <c r="L43" s="45"/>
      <c r="O43" s="87"/>
    </row>
    <row r="44" spans="2:16" ht="19.2" customHeight="1" x14ac:dyDescent="0.4">
      <c r="B44" s="49" t="s">
        <v>41</v>
      </c>
      <c r="C44" s="50"/>
      <c r="D44" s="50"/>
      <c r="E44" s="50"/>
      <c r="F44" s="74" t="s">
        <v>19</v>
      </c>
      <c r="G44" s="52"/>
      <c r="H44" s="52"/>
      <c r="I44" s="53">
        <f>I38/I39%</f>
        <v>10.893422629404347</v>
      </c>
      <c r="J44" s="51" t="s">
        <v>20</v>
      </c>
      <c r="K44" s="54" t="s">
        <v>25</v>
      </c>
      <c r="L44" s="48"/>
      <c r="O44" s="87"/>
    </row>
    <row r="45" spans="2:16" ht="19.2" customHeight="1" x14ac:dyDescent="0.4">
      <c r="K45" s="80"/>
      <c r="O45" s="87"/>
    </row>
    <row r="46" spans="2:16" ht="19.2" customHeight="1" x14ac:dyDescent="0.4">
      <c r="B46" s="32" t="s">
        <v>27</v>
      </c>
      <c r="C46" s="33"/>
      <c r="D46" s="33"/>
      <c r="E46" s="33"/>
      <c r="F46" s="34"/>
      <c r="G46" s="35"/>
      <c r="H46" s="35"/>
      <c r="I46" s="36"/>
      <c r="J46" s="37"/>
      <c r="K46" s="72"/>
      <c r="L46" s="39"/>
      <c r="O46" s="87"/>
    </row>
    <row r="47" spans="2:16" ht="19.2" customHeight="1" x14ac:dyDescent="0.4">
      <c r="B47" s="40" t="s">
        <v>182</v>
      </c>
      <c r="C47" s="41"/>
      <c r="D47" s="41"/>
      <c r="E47" s="41"/>
      <c r="F47" s="42"/>
      <c r="G47" s="324">
        <f>G16</f>
        <v>3.8076923076923078E-2</v>
      </c>
      <c r="H47" s="42"/>
      <c r="I47" s="43">
        <f>100000*(G47/(G47+$C$64))</f>
        <v>5852.3709049130157</v>
      </c>
      <c r="J47" s="42" t="s">
        <v>18</v>
      </c>
      <c r="K47" s="44" t="s">
        <v>23</v>
      </c>
      <c r="L47" s="45"/>
      <c r="O47" s="87"/>
    </row>
    <row r="48" spans="2:16" ht="19.2" customHeight="1" x14ac:dyDescent="0.4">
      <c r="B48" s="40" t="s">
        <v>29</v>
      </c>
      <c r="C48" s="41"/>
      <c r="D48" s="41"/>
      <c r="E48" s="41"/>
      <c r="F48" s="41"/>
      <c r="G48" s="73">
        <f>C16</f>
        <v>85.269270342107546</v>
      </c>
      <c r="H48" s="46"/>
      <c r="I48" s="47">
        <f>611.14*EXP(17.269*(((273.16+G48)-273.16)/((273.16+G48)-35.86)))</f>
        <v>58705.202254014424</v>
      </c>
      <c r="J48" s="42" t="s">
        <v>18</v>
      </c>
      <c r="K48" s="44" t="s">
        <v>24</v>
      </c>
      <c r="L48" s="45"/>
      <c r="O48" s="87"/>
    </row>
    <row r="49" spans="2:16" ht="19.2" customHeight="1" x14ac:dyDescent="0.4">
      <c r="B49" s="40" t="s">
        <v>142</v>
      </c>
      <c r="C49" s="41"/>
      <c r="D49" s="41"/>
      <c r="E49" s="41"/>
      <c r="F49" s="41"/>
      <c r="G49" s="73">
        <f>VLOOKUP(I16,'Air humide'!$H$2:$K$222,4)</f>
        <v>42</v>
      </c>
      <c r="H49" s="46"/>
      <c r="I49" s="47">
        <f t="shared" ref="I49:I50" si="0">611.14*EXP(17.269*(((273.16+G49)-273.16)/((273.16+G49)-35.86)))</f>
        <v>8202.2859661193343</v>
      </c>
      <c r="J49" s="42" t="s">
        <v>18</v>
      </c>
      <c r="K49" s="44" t="s">
        <v>39</v>
      </c>
      <c r="L49" s="45"/>
      <c r="O49" s="87"/>
    </row>
    <row r="50" spans="2:16" ht="19.2" customHeight="1" x14ac:dyDescent="0.4">
      <c r="B50" s="40" t="s">
        <v>143</v>
      </c>
      <c r="C50" s="41"/>
      <c r="D50" s="41"/>
      <c r="E50" s="41"/>
      <c r="F50" s="41"/>
      <c r="G50" s="73">
        <f>3928.5/(LN(101325*140974)-LN(I47))-231.667</f>
        <v>35.435859823257402</v>
      </c>
      <c r="H50" s="46"/>
      <c r="I50" s="47">
        <f t="shared" si="0"/>
        <v>5762.0134612900501</v>
      </c>
      <c r="J50" s="42" t="s">
        <v>18</v>
      </c>
      <c r="K50" s="44" t="s">
        <v>40</v>
      </c>
      <c r="L50" s="45"/>
      <c r="O50" s="87"/>
      <c r="P50" s="165"/>
    </row>
    <row r="51" spans="2:16" ht="19.2" customHeight="1" x14ac:dyDescent="0.4">
      <c r="B51" s="40" t="s">
        <v>141</v>
      </c>
      <c r="C51" s="41"/>
      <c r="D51" s="41"/>
      <c r="E51" s="41"/>
      <c r="F51" s="41"/>
      <c r="G51" s="84">
        <f>(18/29)*(I48/($L$2-I48))</f>
        <v>0.8549480211295265</v>
      </c>
      <c r="H51" s="46"/>
      <c r="I51" s="47"/>
      <c r="J51" s="41"/>
      <c r="K51" s="44" t="s">
        <v>140</v>
      </c>
      <c r="L51" s="45"/>
      <c r="O51" s="87"/>
    </row>
    <row r="52" spans="2:16" ht="19.2" customHeight="1" x14ac:dyDescent="0.4">
      <c r="B52" s="40" t="s">
        <v>144</v>
      </c>
      <c r="C52" s="41"/>
      <c r="D52" s="41"/>
      <c r="E52" s="41"/>
      <c r="F52" s="41"/>
      <c r="G52" s="84">
        <f>(18/29)*(I49/($L$2-I49))</f>
        <v>5.467059353622214E-2</v>
      </c>
      <c r="H52" s="46"/>
      <c r="I52" s="47"/>
      <c r="J52" s="41"/>
      <c r="K52" s="44" t="s">
        <v>139</v>
      </c>
      <c r="L52" s="45"/>
      <c r="O52" s="87"/>
    </row>
    <row r="53" spans="2:16" ht="19.2" customHeight="1" x14ac:dyDescent="0.4">
      <c r="B53" s="49" t="s">
        <v>41</v>
      </c>
      <c r="C53" s="50"/>
      <c r="D53" s="50"/>
      <c r="E53" s="50"/>
      <c r="F53" s="74" t="s">
        <v>19</v>
      </c>
      <c r="G53" s="52"/>
      <c r="H53" s="52"/>
      <c r="I53" s="53">
        <f>I47/I48%</f>
        <v>9.9690839656596442</v>
      </c>
      <c r="J53" s="51" t="s">
        <v>20</v>
      </c>
      <c r="K53" s="54" t="s">
        <v>25</v>
      </c>
      <c r="L53" s="48"/>
      <c r="O53" s="87"/>
    </row>
    <row r="55" spans="2:16" x14ac:dyDescent="0.25">
      <c r="B55" s="190" t="s">
        <v>167</v>
      </c>
    </row>
    <row r="56" spans="2:16" x14ac:dyDescent="0.25">
      <c r="B56" s="190" t="s">
        <v>168</v>
      </c>
    </row>
    <row r="57" spans="2:16" x14ac:dyDescent="0.25">
      <c r="B57" s="190" t="s">
        <v>183</v>
      </c>
    </row>
    <row r="63" spans="2:16" x14ac:dyDescent="0.25">
      <c r="C63" s="78" t="s">
        <v>166</v>
      </c>
    </row>
    <row r="64" spans="2:16" x14ac:dyDescent="0.25">
      <c r="C64" s="189">
        <v>0.61254696415752785</v>
      </c>
    </row>
    <row r="66" spans="3:6" x14ac:dyDescent="0.25">
      <c r="C66" s="167" t="s">
        <v>158</v>
      </c>
      <c r="D66" s="179"/>
      <c r="E66" s="179"/>
      <c r="F66" s="180"/>
    </row>
    <row r="67" spans="3:6" x14ac:dyDescent="0.25">
      <c r="C67" s="181">
        <v>23.5</v>
      </c>
      <c r="D67" s="78" t="s">
        <v>159</v>
      </c>
      <c r="E67" s="78"/>
      <c r="F67" s="182"/>
    </row>
    <row r="68" spans="3:6" x14ac:dyDescent="0.25">
      <c r="C68" s="183">
        <v>16.8</v>
      </c>
      <c r="D68" s="78" t="s">
        <v>160</v>
      </c>
      <c r="E68" s="78"/>
      <c r="F68" s="182"/>
    </row>
    <row r="69" spans="3:6" x14ac:dyDescent="0.25">
      <c r="C69" s="184">
        <v>7.3642250892578956E-4</v>
      </c>
      <c r="D69" s="78" t="s">
        <v>157</v>
      </c>
      <c r="E69" s="78"/>
      <c r="F69" s="182"/>
    </row>
    <row r="70" spans="3:6" x14ac:dyDescent="0.25">
      <c r="C70" s="185">
        <f>611.14*EXP(17.269*(((273.16+C67)-273.16)/((273.16+C67)-35.86)))</f>
        <v>2896.8815193735572</v>
      </c>
      <c r="D70" s="78" t="s">
        <v>161</v>
      </c>
      <c r="E70" s="78"/>
      <c r="F70" s="182"/>
    </row>
    <row r="71" spans="3:6" x14ac:dyDescent="0.25">
      <c r="C71" s="185">
        <f>C70*C69*101325*(C67-C68)/1000</f>
        <v>1448.2688929300871</v>
      </c>
      <c r="D71" s="186" t="s">
        <v>162</v>
      </c>
      <c r="E71" s="78"/>
      <c r="F71" s="182"/>
    </row>
    <row r="72" spans="3:6" x14ac:dyDescent="0.25">
      <c r="C72" s="192">
        <f>C71/C70%</f>
        <v>49.994067180326773</v>
      </c>
      <c r="D72" s="78" t="s">
        <v>163</v>
      </c>
      <c r="E72" s="78"/>
      <c r="F72" s="182"/>
    </row>
    <row r="73" spans="3:6" x14ac:dyDescent="0.25">
      <c r="C73" s="191">
        <f>(18/29)*(C71/(Melange!$L$2-C71))*1000</f>
        <v>9.0003498290912489</v>
      </c>
      <c r="D73" s="187" t="s">
        <v>164</v>
      </c>
      <c r="E73" s="187"/>
      <c r="F73" s="188"/>
    </row>
    <row r="154" spans="1:10" ht="15" x14ac:dyDescent="0.25">
      <c r="A154" s="88"/>
      <c r="C154" s="88"/>
      <c r="D154" s="88"/>
      <c r="E154" s="88"/>
      <c r="F154" s="88"/>
      <c r="G154" s="88"/>
      <c r="H154" s="88"/>
      <c r="I154" s="88"/>
      <c r="J154" s="88"/>
    </row>
    <row r="155" spans="1:10" ht="17.399999999999999" x14ac:dyDescent="0.3">
      <c r="B155" s="85"/>
    </row>
    <row r="162" spans="3:3" ht="17.399999999999999" x14ac:dyDescent="0.3">
      <c r="C162" s="85"/>
    </row>
  </sheetData>
  <printOptions horizontalCentered="1"/>
  <pageMargins left="0" right="0" top="0.19685039370078741" bottom="0.19685039370078741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52"/>
  <sheetViews>
    <sheetView showGridLines="0" zoomScale="75" zoomScaleNormal="75" workbookViewId="0">
      <selection activeCell="H14" sqref="H14"/>
    </sheetView>
  </sheetViews>
  <sheetFormatPr baseColWidth="10" defaultRowHeight="14.4" x14ac:dyDescent="0.3"/>
  <cols>
    <col min="1" max="1" width="7.6640625" customWidth="1"/>
    <col min="2" max="2" width="36.88671875" customWidth="1"/>
    <col min="3" max="12" width="17.21875" customWidth="1"/>
  </cols>
  <sheetData>
    <row r="1" spans="2:12" ht="28.2" x14ac:dyDescent="0.5">
      <c r="B1" s="76" t="s">
        <v>175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2" x14ac:dyDescent="0.3">
      <c r="B2" s="190" t="s">
        <v>282</v>
      </c>
      <c r="C2" s="77"/>
      <c r="D2" s="77"/>
      <c r="E2" s="77"/>
      <c r="F2" s="77"/>
      <c r="G2" s="77"/>
      <c r="H2" s="77"/>
      <c r="I2" s="77"/>
      <c r="J2" s="77"/>
      <c r="K2" s="325" t="s">
        <v>43</v>
      </c>
      <c r="L2" s="83">
        <v>101325</v>
      </c>
    </row>
    <row r="3" spans="2:12" x14ac:dyDescent="0.3">
      <c r="B3" s="1"/>
      <c r="C3" s="1"/>
      <c r="D3" s="2"/>
      <c r="E3" s="3"/>
      <c r="F3" s="1"/>
      <c r="G3" s="2"/>
      <c r="H3" s="3"/>
      <c r="I3" s="2"/>
      <c r="J3" s="4"/>
      <c r="K3" s="4"/>
      <c r="L3" s="3"/>
    </row>
    <row r="4" spans="2:12" ht="15.6" x14ac:dyDescent="0.3">
      <c r="B4" s="5" t="s">
        <v>0</v>
      </c>
      <c r="C4" s="6" t="s">
        <v>1</v>
      </c>
      <c r="D4" s="7" t="s">
        <v>2</v>
      </c>
      <c r="E4" s="8"/>
      <c r="F4" s="6" t="s">
        <v>3</v>
      </c>
      <c r="G4" s="28" t="s">
        <v>4</v>
      </c>
      <c r="H4" s="30"/>
      <c r="I4" s="28" t="s">
        <v>5</v>
      </c>
      <c r="J4" s="29"/>
      <c r="K4" s="29"/>
      <c r="L4" s="30"/>
    </row>
    <row r="5" spans="2:12" x14ac:dyDescent="0.3">
      <c r="B5" s="11"/>
      <c r="C5" s="6"/>
      <c r="D5" s="7"/>
      <c r="E5" s="8"/>
      <c r="F5" s="11"/>
      <c r="G5" s="27" t="s">
        <v>15</v>
      </c>
      <c r="H5" s="8"/>
      <c r="I5" s="7"/>
      <c r="J5" s="10"/>
      <c r="K5" s="10"/>
      <c r="L5" s="8"/>
    </row>
    <row r="6" spans="2:12" x14ac:dyDescent="0.3">
      <c r="B6" s="12"/>
      <c r="C6" s="13"/>
      <c r="D6" s="7" t="s">
        <v>6</v>
      </c>
      <c r="E6" s="8" t="s">
        <v>7</v>
      </c>
      <c r="F6" s="6" t="s">
        <v>8</v>
      </c>
      <c r="G6" s="7" t="s">
        <v>9</v>
      </c>
      <c r="H6" s="8" t="s">
        <v>7</v>
      </c>
      <c r="I6" s="7" t="s">
        <v>10</v>
      </c>
      <c r="J6" s="10" t="s">
        <v>11</v>
      </c>
      <c r="K6" s="10" t="s">
        <v>12</v>
      </c>
      <c r="L6" s="8" t="s">
        <v>13</v>
      </c>
    </row>
    <row r="7" spans="2:12" x14ac:dyDescent="0.3">
      <c r="B7" s="12"/>
      <c r="C7" s="14"/>
      <c r="D7" s="280" t="s">
        <v>184</v>
      </c>
      <c r="E7" s="31" t="s">
        <v>16</v>
      </c>
      <c r="F7" s="14"/>
      <c r="G7" s="15"/>
      <c r="H7" s="31" t="s">
        <v>17</v>
      </c>
      <c r="I7" s="15"/>
      <c r="J7" s="9"/>
      <c r="K7" s="9"/>
      <c r="L7" s="16"/>
    </row>
    <row r="8" spans="2:12" x14ac:dyDescent="0.3">
      <c r="B8" s="277"/>
      <c r="C8" s="1"/>
      <c r="D8" s="4"/>
      <c r="E8" s="278"/>
      <c r="F8" s="1"/>
      <c r="G8" s="4"/>
      <c r="H8" s="279"/>
      <c r="I8" s="2"/>
      <c r="J8" s="4"/>
      <c r="K8" s="4"/>
      <c r="L8" s="3"/>
    </row>
    <row r="9" spans="2:12" ht="16.2" customHeight="1" x14ac:dyDescent="0.3">
      <c r="B9" s="251" t="s">
        <v>169</v>
      </c>
      <c r="C9" s="271">
        <v>23.5</v>
      </c>
      <c r="D9" s="211">
        <f>((22.41/273)*(C9+273))*((1/29)+((1/18)*G9))</f>
        <v>0.85144766862447907</v>
      </c>
      <c r="E9" s="272">
        <f>D9*F9</f>
        <v>17028.953372489581</v>
      </c>
      <c r="F9" s="273">
        <v>20000</v>
      </c>
      <c r="G9" s="274">
        <v>8.9999999999999993E-3</v>
      </c>
      <c r="H9" s="275">
        <f>F9*G9</f>
        <v>180</v>
      </c>
      <c r="I9" s="215">
        <f>(((1.005+(1.88*G9))*C9)+(2500*G9))</f>
        <v>46.515119999999996</v>
      </c>
      <c r="J9" s="216">
        <f>I9/4.1855</f>
        <v>11.113396248954723</v>
      </c>
      <c r="K9" s="276">
        <f>I9*F9</f>
        <v>930302.39999999991</v>
      </c>
      <c r="L9" s="217">
        <f>K9/4.1855</f>
        <v>222267.92497909445</v>
      </c>
    </row>
    <row r="10" spans="2:12" ht="16.2" customHeight="1" x14ac:dyDescent="0.3">
      <c r="B10" s="196"/>
      <c r="C10" s="197"/>
      <c r="D10" s="326">
        <f>1/D9</f>
        <v>1.1744703014050275</v>
      </c>
      <c r="E10" s="198"/>
      <c r="F10" s="197"/>
      <c r="G10" s="199"/>
      <c r="H10" s="198"/>
      <c r="I10" s="200"/>
      <c r="J10" s="201"/>
      <c r="K10" s="201"/>
      <c r="L10" s="202"/>
    </row>
    <row r="11" spans="2:12" ht="16.2" customHeight="1" x14ac:dyDescent="0.3">
      <c r="B11" s="203"/>
      <c r="C11" s="204"/>
      <c r="D11" s="205"/>
      <c r="E11" s="205"/>
      <c r="F11" s="204"/>
      <c r="G11" s="205"/>
      <c r="H11" s="205"/>
      <c r="I11" s="206"/>
      <c r="J11" s="207"/>
      <c r="K11" s="207"/>
      <c r="L11" s="208"/>
    </row>
    <row r="12" spans="2:12" ht="16.2" customHeight="1" x14ac:dyDescent="0.3">
      <c r="B12" s="209" t="s">
        <v>176</v>
      </c>
      <c r="C12" s="210">
        <v>85</v>
      </c>
      <c r="D12" s="211">
        <f>((22.41/273)*(C12+273))*((1/29)+((1/18)*G12))</f>
        <v>1.02805485790072</v>
      </c>
      <c r="E12" s="212">
        <f>D12*F12</f>
        <v>20561.0971580144</v>
      </c>
      <c r="F12" s="213">
        <f>F9</f>
        <v>20000</v>
      </c>
      <c r="G12" s="199">
        <f>G9</f>
        <v>8.9999999999999993E-3</v>
      </c>
      <c r="H12" s="214">
        <f>F12*G12</f>
        <v>180</v>
      </c>
      <c r="I12" s="215">
        <f>(((1.005+(1.88*G12))*C12)+(2500*G12))</f>
        <v>109.36319999999999</v>
      </c>
      <c r="J12" s="216">
        <f>I12/4.1855</f>
        <v>26.12906462788197</v>
      </c>
      <c r="K12" s="212">
        <f>F12*I12</f>
        <v>2187264</v>
      </c>
      <c r="L12" s="217">
        <f>K12/4.1855</f>
        <v>522581.29255763942</v>
      </c>
    </row>
    <row r="13" spans="2:12" ht="16.2" customHeight="1" x14ac:dyDescent="0.3">
      <c r="B13" s="209"/>
      <c r="C13" s="218"/>
      <c r="D13" s="326">
        <f>1/D12</f>
        <v>0.972710738454164</v>
      </c>
      <c r="E13" s="212"/>
      <c r="F13" s="213"/>
      <c r="G13" s="199"/>
      <c r="H13" s="214"/>
      <c r="I13" s="215"/>
      <c r="J13" s="216"/>
      <c r="K13" s="212"/>
      <c r="L13" s="217"/>
    </row>
    <row r="14" spans="2:12" ht="16.2" customHeight="1" x14ac:dyDescent="0.3">
      <c r="B14" s="219" t="s">
        <v>170</v>
      </c>
      <c r="C14" s="218"/>
      <c r="D14" s="220"/>
      <c r="E14" s="221"/>
      <c r="F14" s="222"/>
      <c r="G14" s="223"/>
      <c r="H14" s="224">
        <v>181.45272522137978</v>
      </c>
      <c r="I14" s="225"/>
      <c r="J14" s="216"/>
      <c r="K14" s="212"/>
      <c r="L14" s="217"/>
    </row>
    <row r="15" spans="2:12" ht="16.2" customHeight="1" x14ac:dyDescent="0.3">
      <c r="B15" s="226"/>
      <c r="C15" s="227"/>
      <c r="D15" s="211"/>
      <c r="E15" s="212"/>
      <c r="F15" s="228"/>
      <c r="G15" s="229"/>
      <c r="H15" s="217"/>
      <c r="I15" s="225"/>
      <c r="J15" s="216"/>
      <c r="K15" s="212"/>
      <c r="L15" s="217"/>
    </row>
    <row r="16" spans="2:12" ht="16.2" customHeight="1" x14ac:dyDescent="0.3">
      <c r="B16" s="203"/>
      <c r="C16" s="230"/>
      <c r="D16" s="193"/>
      <c r="E16" s="231"/>
      <c r="F16" s="232"/>
      <c r="G16" s="233"/>
      <c r="H16" s="195"/>
      <c r="I16" s="234"/>
      <c r="J16" s="194"/>
      <c r="K16" s="231"/>
      <c r="L16" s="195"/>
    </row>
    <row r="17" spans="2:12" ht="16.2" customHeight="1" x14ac:dyDescent="0.3">
      <c r="B17" s="209" t="s">
        <v>172</v>
      </c>
      <c r="C17" s="235">
        <f>(I17-(2487*G17))/((1.005+(1.88*G17)))</f>
        <v>62.000006868423732</v>
      </c>
      <c r="D17" s="236">
        <f>((22.41/273)*(C17+273))*((1/29)+((1/18)*G17))</f>
        <v>0.97586735590401463</v>
      </c>
      <c r="E17" s="237">
        <f>D17*F17</f>
        <v>19517.347118080292</v>
      </c>
      <c r="F17" s="238">
        <f>F12+F14</f>
        <v>20000</v>
      </c>
      <c r="G17" s="239">
        <f>H17/F17</f>
        <v>1.8072636261068989E-2</v>
      </c>
      <c r="H17" s="237">
        <f>SUM(H12:H15)</f>
        <v>361.45272522137975</v>
      </c>
      <c r="I17" s="240">
        <f>K17/F17</f>
        <v>109.36320000000001</v>
      </c>
      <c r="J17" s="241">
        <f>I17/4.1855</f>
        <v>26.129064627881974</v>
      </c>
      <c r="K17" s="242">
        <f>SUM(K12:K14)</f>
        <v>2187264</v>
      </c>
      <c r="L17" s="237">
        <f>J17*F17</f>
        <v>522581.29255763948</v>
      </c>
    </row>
    <row r="18" spans="2:12" ht="16.2" customHeight="1" x14ac:dyDescent="0.3">
      <c r="B18" s="17"/>
      <c r="C18" s="18"/>
      <c r="D18" s="327">
        <f>1/D17</f>
        <v>1.0247294306444237</v>
      </c>
      <c r="E18" s="19"/>
      <c r="F18" s="20"/>
      <c r="G18" s="21"/>
      <c r="H18" s="22"/>
      <c r="I18" s="23"/>
      <c r="J18" s="24"/>
      <c r="K18" s="25"/>
      <c r="L18" s="26"/>
    </row>
    <row r="19" spans="2:12" x14ac:dyDescent="0.3">
      <c r="B19" s="79"/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2:12" ht="16.8" customHeight="1" x14ac:dyDescent="0.3">
      <c r="B20" s="243" t="s">
        <v>171</v>
      </c>
      <c r="C20" s="244"/>
      <c r="D20" s="244"/>
      <c r="E20" s="244"/>
      <c r="F20" s="245"/>
      <c r="G20" s="246"/>
      <c r="H20" s="246"/>
      <c r="I20" s="247"/>
      <c r="J20" s="248"/>
      <c r="K20" s="249"/>
      <c r="L20" s="250"/>
    </row>
    <row r="21" spans="2:12" ht="16.8" customHeight="1" x14ac:dyDescent="0.3">
      <c r="B21" s="251" t="s">
        <v>173</v>
      </c>
      <c r="C21" s="252"/>
      <c r="D21" s="252"/>
      <c r="E21" s="252"/>
      <c r="F21" s="252"/>
      <c r="G21" s="268">
        <f>G9</f>
        <v>8.9999999999999993E-3</v>
      </c>
      <c r="H21" s="253"/>
      <c r="I21" s="254">
        <f>100000*(G21/(G21+$B$48))</f>
        <v>1447.999993403394</v>
      </c>
      <c r="J21" s="253" t="s">
        <v>18</v>
      </c>
      <c r="K21" s="255" t="s">
        <v>23</v>
      </c>
      <c r="L21" s="256"/>
    </row>
    <row r="22" spans="2:12" ht="16.8" customHeight="1" x14ac:dyDescent="0.3">
      <c r="B22" s="269" t="s">
        <v>29</v>
      </c>
      <c r="C22" s="253"/>
      <c r="D22" s="253"/>
      <c r="E22" s="253"/>
      <c r="F22" s="253"/>
      <c r="G22" s="257">
        <f>C9</f>
        <v>23.5</v>
      </c>
      <c r="H22" s="270"/>
      <c r="I22" s="259">
        <f>611.14*EXP(17.269*(((273.16+G22)-273.16)/((273.16+G22)-35.86)))</f>
        <v>2896.8815193735572</v>
      </c>
      <c r="J22" s="253" t="s">
        <v>18</v>
      </c>
      <c r="K22" s="255" t="s">
        <v>24</v>
      </c>
      <c r="L22" s="256"/>
    </row>
    <row r="23" spans="2:12" ht="16.8" customHeight="1" x14ac:dyDescent="0.3">
      <c r="B23" s="269" t="s">
        <v>142</v>
      </c>
      <c r="C23" s="253"/>
      <c r="D23" s="253"/>
      <c r="E23" s="253"/>
      <c r="F23" s="253"/>
      <c r="G23" s="257">
        <f>G22*((I27/100)*0.3362+0.6716)+((I27/100)*6.0409-5.9852)</f>
        <v>16.766078757838265</v>
      </c>
      <c r="H23" s="270"/>
      <c r="I23" s="259">
        <f>611.14*EXP(17.269*(((273.16+G23)-273.16)/((273.16+G23)-35.86)))</f>
        <v>1910.126839364093</v>
      </c>
      <c r="J23" s="253" t="s">
        <v>18</v>
      </c>
      <c r="K23" s="255" t="s">
        <v>39</v>
      </c>
      <c r="L23" s="256"/>
    </row>
    <row r="24" spans="2:12" ht="16.8" customHeight="1" x14ac:dyDescent="0.3">
      <c r="B24" s="269" t="s">
        <v>143</v>
      </c>
      <c r="C24" s="253"/>
      <c r="D24" s="253"/>
      <c r="E24" s="253"/>
      <c r="F24" s="253"/>
      <c r="G24" s="257">
        <f>3928.5/(LN(101325*140974)-LN(I21))-231.667</f>
        <v>12.271323019064141</v>
      </c>
      <c r="H24" s="270"/>
      <c r="I24" s="259">
        <f>611.14*EXP(17.269*(((273.16+G24)-273.16)/((273.16+G24)-35.86)))</f>
        <v>1428.5796098592245</v>
      </c>
      <c r="J24" s="253" t="s">
        <v>18</v>
      </c>
      <c r="K24" s="255" t="s">
        <v>40</v>
      </c>
      <c r="L24" s="256"/>
    </row>
    <row r="25" spans="2:12" ht="16.8" customHeight="1" x14ac:dyDescent="0.3">
      <c r="B25" s="269" t="s">
        <v>141</v>
      </c>
      <c r="C25" s="253"/>
      <c r="D25" s="253"/>
      <c r="E25" s="253"/>
      <c r="F25" s="253"/>
      <c r="G25" s="260">
        <f>(18/29)*(I22/($L$2-I22))</f>
        <v>1.8267791959156711E-2</v>
      </c>
      <c r="H25" s="270"/>
      <c r="I25" s="259"/>
      <c r="J25" s="253"/>
      <c r="K25" s="255" t="s">
        <v>140</v>
      </c>
      <c r="L25" s="256"/>
    </row>
    <row r="26" spans="2:12" ht="16.8" customHeight="1" x14ac:dyDescent="0.3">
      <c r="B26" s="269" t="s">
        <v>144</v>
      </c>
      <c r="C26" s="253"/>
      <c r="D26" s="253"/>
      <c r="E26" s="253"/>
      <c r="F26" s="253"/>
      <c r="G26" s="260">
        <f>(18/29)*(I23/($L$2-I23))</f>
        <v>1.1925740400480816E-2</v>
      </c>
      <c r="H26" s="270"/>
      <c r="I26" s="259"/>
      <c r="J26" s="253"/>
      <c r="K26" s="255" t="s">
        <v>139</v>
      </c>
      <c r="L26" s="256"/>
    </row>
    <row r="27" spans="2:12" ht="16.8" customHeight="1" x14ac:dyDescent="0.3">
      <c r="B27" s="261" t="s">
        <v>41</v>
      </c>
      <c r="C27" s="262"/>
      <c r="D27" s="262"/>
      <c r="E27" s="262"/>
      <c r="F27" s="263" t="s">
        <v>19</v>
      </c>
      <c r="G27" s="263"/>
      <c r="H27" s="263"/>
      <c r="I27" s="264">
        <f>I21/I22%</f>
        <v>49.984784801158177</v>
      </c>
      <c r="J27" s="262" t="s">
        <v>20</v>
      </c>
      <c r="K27" s="265" t="s">
        <v>25</v>
      </c>
      <c r="L27" s="266"/>
    </row>
    <row r="28" spans="2:12" ht="16.8" customHeight="1" x14ac:dyDescent="0.3">
      <c r="B28" s="77"/>
      <c r="C28" s="77"/>
      <c r="D28" s="77"/>
      <c r="E28" s="77"/>
      <c r="F28" s="77"/>
      <c r="G28" s="77"/>
      <c r="H28" s="77"/>
      <c r="I28" s="77"/>
      <c r="J28" s="77"/>
      <c r="K28" s="80"/>
      <c r="L28" s="77"/>
    </row>
    <row r="29" spans="2:12" ht="16.8" customHeight="1" x14ac:dyDescent="0.3">
      <c r="B29" s="243" t="s">
        <v>177</v>
      </c>
      <c r="C29" s="244"/>
      <c r="D29" s="244"/>
      <c r="E29" s="244"/>
      <c r="F29" s="245"/>
      <c r="G29" s="246"/>
      <c r="H29" s="246"/>
      <c r="I29" s="247"/>
      <c r="J29" s="248"/>
      <c r="K29" s="267"/>
      <c r="L29" s="250"/>
    </row>
    <row r="30" spans="2:12" ht="16.8" customHeight="1" x14ac:dyDescent="0.3">
      <c r="B30" s="251" t="s">
        <v>174</v>
      </c>
      <c r="C30" s="252"/>
      <c r="D30" s="252"/>
      <c r="E30" s="252"/>
      <c r="F30" s="252"/>
      <c r="G30" s="268">
        <f>G12</f>
        <v>8.9999999999999993E-3</v>
      </c>
      <c r="H30" s="253"/>
      <c r="I30" s="254">
        <f>I21</f>
        <v>1447.999993403394</v>
      </c>
      <c r="J30" s="253" t="s">
        <v>18</v>
      </c>
      <c r="K30" s="255" t="s">
        <v>23</v>
      </c>
      <c r="L30" s="256"/>
    </row>
    <row r="31" spans="2:12" ht="16.8" customHeight="1" x14ac:dyDescent="0.3">
      <c r="B31" s="269" t="s">
        <v>29</v>
      </c>
      <c r="C31" s="252"/>
      <c r="D31" s="252"/>
      <c r="E31" s="252"/>
      <c r="F31" s="252"/>
      <c r="G31" s="257">
        <f>C12</f>
        <v>85</v>
      </c>
      <c r="H31" s="258"/>
      <c r="I31" s="259">
        <f>611.14*EXP(17.269*(((273.16+G31)-273.16)/((273.16+G31)-35.86)))</f>
        <v>58085.413022674889</v>
      </c>
      <c r="J31" s="253" t="s">
        <v>18</v>
      </c>
      <c r="K31" s="255" t="s">
        <v>24</v>
      </c>
      <c r="L31" s="256"/>
    </row>
    <row r="32" spans="2:12" ht="16.8" customHeight="1" x14ac:dyDescent="0.3">
      <c r="B32" s="269" t="s">
        <v>142</v>
      </c>
      <c r="C32" s="252"/>
      <c r="D32" s="252"/>
      <c r="E32" s="252"/>
      <c r="F32" s="252"/>
      <c r="G32" s="257">
        <f>VLOOKUP(I12,'Air humide'!$H$2:$K$222,4)</f>
        <v>31.5</v>
      </c>
      <c r="H32" s="258"/>
      <c r="I32" s="259">
        <f>611.14*EXP(17.269*(((273.16+G32)-273.16)/((273.16+G32)-35.86)))</f>
        <v>4624.0998454549463</v>
      </c>
      <c r="J32" s="253" t="s">
        <v>18</v>
      </c>
      <c r="K32" s="255" t="s">
        <v>39</v>
      </c>
      <c r="L32" s="256"/>
    </row>
    <row r="33" spans="2:12" ht="16.8" customHeight="1" x14ac:dyDescent="0.3">
      <c r="B33" s="269" t="s">
        <v>143</v>
      </c>
      <c r="C33" s="252"/>
      <c r="D33" s="252"/>
      <c r="E33" s="252"/>
      <c r="F33" s="252"/>
      <c r="G33" s="257">
        <f>3928.5/(LN(101325*140974)-LN(I30))-231.667</f>
        <v>12.271323019064141</v>
      </c>
      <c r="H33" s="258"/>
      <c r="I33" s="259">
        <f>611.14*EXP(17.269*(((273.16+G33)-273.16)/((273.16+G33)-35.86)))</f>
        <v>1428.5796098592245</v>
      </c>
      <c r="J33" s="253" t="s">
        <v>18</v>
      </c>
      <c r="K33" s="255" t="s">
        <v>40</v>
      </c>
      <c r="L33" s="256"/>
    </row>
    <row r="34" spans="2:12" ht="16.8" customHeight="1" x14ac:dyDescent="0.3">
      <c r="B34" s="269" t="s">
        <v>141</v>
      </c>
      <c r="C34" s="252"/>
      <c r="D34" s="252"/>
      <c r="E34" s="252"/>
      <c r="F34" s="252"/>
      <c r="G34" s="260">
        <f>(18/29)*(I31/($L$2-I31))</f>
        <v>0.83379646985290479</v>
      </c>
      <c r="H34" s="258"/>
      <c r="I34" s="259"/>
      <c r="J34" s="252"/>
      <c r="K34" s="255" t="s">
        <v>140</v>
      </c>
      <c r="L34" s="256"/>
    </row>
    <row r="35" spans="2:12" ht="16.8" customHeight="1" x14ac:dyDescent="0.3">
      <c r="B35" s="269" t="s">
        <v>144</v>
      </c>
      <c r="C35" s="252"/>
      <c r="D35" s="252"/>
      <c r="E35" s="252"/>
      <c r="F35" s="252"/>
      <c r="G35" s="260">
        <f>(18/29)*(I32/($L$2-I32))</f>
        <v>2.9680498671380187E-2</v>
      </c>
      <c r="H35" s="258"/>
      <c r="I35" s="259"/>
      <c r="J35" s="252"/>
      <c r="K35" s="255" t="s">
        <v>139</v>
      </c>
      <c r="L35" s="256"/>
    </row>
    <row r="36" spans="2:12" ht="16.8" customHeight="1" x14ac:dyDescent="0.3">
      <c r="B36" s="261" t="s">
        <v>41</v>
      </c>
      <c r="C36" s="262"/>
      <c r="D36" s="262"/>
      <c r="E36" s="262"/>
      <c r="F36" s="263" t="s">
        <v>19</v>
      </c>
      <c r="G36" s="263"/>
      <c r="H36" s="263"/>
      <c r="I36" s="264">
        <f>I30/I31%</f>
        <v>2.492880601258936</v>
      </c>
      <c r="J36" s="262" t="s">
        <v>20</v>
      </c>
      <c r="K36" s="265" t="s">
        <v>25</v>
      </c>
      <c r="L36" s="266"/>
    </row>
    <row r="37" spans="2:12" ht="16.8" customHeight="1" x14ac:dyDescent="0.3"/>
    <row r="38" spans="2:12" ht="16.8" customHeight="1" x14ac:dyDescent="0.3">
      <c r="B38" s="243" t="s">
        <v>178</v>
      </c>
      <c r="C38" s="244"/>
      <c r="D38" s="244"/>
      <c r="E38" s="244"/>
      <c r="F38" s="245"/>
      <c r="G38" s="246"/>
      <c r="H38" s="246"/>
      <c r="I38" s="247"/>
      <c r="J38" s="248"/>
      <c r="K38" s="267"/>
      <c r="L38" s="250"/>
    </row>
    <row r="39" spans="2:12" ht="16.8" customHeight="1" x14ac:dyDescent="0.3">
      <c r="B39" s="251" t="s">
        <v>28</v>
      </c>
      <c r="C39" s="252"/>
      <c r="D39" s="252"/>
      <c r="E39" s="252"/>
      <c r="F39" s="252"/>
      <c r="G39" s="268">
        <f>G17</f>
        <v>1.8072636261068989E-2</v>
      </c>
      <c r="H39" s="253"/>
      <c r="I39" s="254">
        <f>100000*(G39/(G39+$B$48))</f>
        <v>2865.853875945596</v>
      </c>
      <c r="J39" s="253" t="s">
        <v>18</v>
      </c>
      <c r="K39" s="255" t="s">
        <v>23</v>
      </c>
      <c r="L39" s="256"/>
    </row>
    <row r="40" spans="2:12" ht="16.8" customHeight="1" x14ac:dyDescent="0.3">
      <c r="B40" s="269" t="s">
        <v>29</v>
      </c>
      <c r="C40" s="252"/>
      <c r="D40" s="252"/>
      <c r="E40" s="252"/>
      <c r="F40" s="252"/>
      <c r="G40" s="257">
        <f>C17</f>
        <v>62.000006868423732</v>
      </c>
      <c r="H40" s="258"/>
      <c r="I40" s="259">
        <f>611.14*EXP(17.269*(((273.16+G40)-273.16)/((273.16+G40)-35.86)))</f>
        <v>21864.071945314117</v>
      </c>
      <c r="J40" s="253" t="s">
        <v>18</v>
      </c>
      <c r="K40" s="255" t="s">
        <v>24</v>
      </c>
      <c r="L40" s="256"/>
    </row>
    <row r="41" spans="2:12" ht="16.8" customHeight="1" x14ac:dyDescent="0.3">
      <c r="B41" s="269" t="s">
        <v>142</v>
      </c>
      <c r="C41" s="252"/>
      <c r="D41" s="252"/>
      <c r="E41" s="252"/>
      <c r="F41" s="252"/>
      <c r="G41" s="257">
        <f>VLOOKUP(I17,'Air humide'!$H$2:$K$222,4)</f>
        <v>31.5</v>
      </c>
      <c r="H41" s="258"/>
      <c r="I41" s="259">
        <f>611.14*EXP(17.269*(((273.16+G41)-273.16)/((273.16+G41)-35.86)))</f>
        <v>4624.0998454549463</v>
      </c>
      <c r="J41" s="253" t="s">
        <v>18</v>
      </c>
      <c r="K41" s="255" t="s">
        <v>39</v>
      </c>
      <c r="L41" s="256"/>
    </row>
    <row r="42" spans="2:12" ht="16.8" customHeight="1" x14ac:dyDescent="0.3">
      <c r="B42" s="269" t="s">
        <v>143</v>
      </c>
      <c r="C42" s="252"/>
      <c r="D42" s="252"/>
      <c r="E42" s="252"/>
      <c r="F42" s="252"/>
      <c r="G42" s="257">
        <f>3928.5/(LN(101325*140974)-LN(I39))-231.667</f>
        <v>23.069841043068578</v>
      </c>
      <c r="H42" s="258"/>
      <c r="I42" s="259">
        <f t="shared" ref="I42" si="0">611.14*EXP(17.269*(((273.16+G42)-273.16)/((273.16+G42)-35.86)))</f>
        <v>2822.6477461426484</v>
      </c>
      <c r="J42" s="253" t="s">
        <v>18</v>
      </c>
      <c r="K42" s="255" t="s">
        <v>40</v>
      </c>
      <c r="L42" s="256"/>
    </row>
    <row r="43" spans="2:12" ht="16.8" customHeight="1" x14ac:dyDescent="0.3">
      <c r="B43" s="269" t="s">
        <v>141</v>
      </c>
      <c r="C43" s="252"/>
      <c r="D43" s="252"/>
      <c r="E43" s="252"/>
      <c r="F43" s="252"/>
      <c r="G43" s="260">
        <f>(18/29)*(I40/($L$2-I40))</f>
        <v>0.17078586430632037</v>
      </c>
      <c r="H43" s="258"/>
      <c r="I43" s="259"/>
      <c r="J43" s="252"/>
      <c r="K43" s="255" t="s">
        <v>140</v>
      </c>
      <c r="L43" s="256"/>
    </row>
    <row r="44" spans="2:12" ht="16.8" customHeight="1" x14ac:dyDescent="0.3">
      <c r="B44" s="269" t="s">
        <v>144</v>
      </c>
      <c r="C44" s="252"/>
      <c r="D44" s="252"/>
      <c r="E44" s="252"/>
      <c r="F44" s="252"/>
      <c r="G44" s="260">
        <f>(18/29)*(I41/($L$2-I41))</f>
        <v>2.9680498671380187E-2</v>
      </c>
      <c r="H44" s="258"/>
      <c r="I44" s="259"/>
      <c r="J44" s="252"/>
      <c r="K44" s="255" t="s">
        <v>139</v>
      </c>
      <c r="L44" s="256"/>
    </row>
    <row r="45" spans="2:12" ht="16.8" customHeight="1" x14ac:dyDescent="0.3">
      <c r="B45" s="261" t="s">
        <v>41</v>
      </c>
      <c r="C45" s="262"/>
      <c r="D45" s="262"/>
      <c r="E45" s="262"/>
      <c r="F45" s="263" t="s">
        <v>19</v>
      </c>
      <c r="G45" s="263"/>
      <c r="H45" s="263"/>
      <c r="I45" s="264">
        <f>I39/I40%</f>
        <v>13.107594427577807</v>
      </c>
      <c r="J45" s="262" t="s">
        <v>20</v>
      </c>
      <c r="K45" s="265" t="s">
        <v>25</v>
      </c>
      <c r="L45" s="266"/>
    </row>
    <row r="47" spans="2:12" x14ac:dyDescent="0.3">
      <c r="B47" s="78" t="s">
        <v>166</v>
      </c>
    </row>
    <row r="48" spans="2:12" x14ac:dyDescent="0.3">
      <c r="B48" s="189">
        <v>0.61254696415752785</v>
      </c>
    </row>
    <row r="51" spans="4:6" x14ac:dyDescent="0.3">
      <c r="D51" s="77"/>
      <c r="E51" s="77"/>
      <c r="F51" s="77"/>
    </row>
    <row r="52" spans="4:6" x14ac:dyDescent="0.3">
      <c r="D52" s="77"/>
      <c r="E52" s="77"/>
      <c r="F52" s="77"/>
    </row>
  </sheetData>
  <printOptions horizontalCentered="1" verticalCentered="1"/>
  <pageMargins left="0" right="0" top="0.19685039370078741" bottom="0" header="0.31496062992125984" footer="0.31496062992125984"/>
  <pageSetup paperSize="9" scale="3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60"/>
  <sheetViews>
    <sheetView showGridLines="0" zoomScale="75" zoomScaleNormal="75" workbookViewId="0">
      <selection activeCell="H18" sqref="H18"/>
    </sheetView>
  </sheetViews>
  <sheetFormatPr baseColWidth="10" defaultRowHeight="14.4" x14ac:dyDescent="0.3"/>
  <cols>
    <col min="1" max="1" width="2.77734375" customWidth="1"/>
    <col min="2" max="2" width="36.88671875" customWidth="1"/>
    <col min="3" max="6" width="17.21875" customWidth="1"/>
    <col min="7" max="7" width="18.5546875" customWidth="1"/>
    <col min="8" max="12" width="17.21875" customWidth="1"/>
    <col min="14" max="14" width="17.33203125" customWidth="1"/>
    <col min="15" max="15" width="17.21875" customWidth="1"/>
  </cols>
  <sheetData>
    <row r="1" spans="2:17" ht="28.2" x14ac:dyDescent="0.5">
      <c r="B1" s="76" t="s">
        <v>251</v>
      </c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2:17" ht="15" customHeight="1" x14ac:dyDescent="0.3">
      <c r="B2" s="431" t="s">
        <v>277</v>
      </c>
      <c r="C2" s="77"/>
      <c r="D2" s="190" t="s">
        <v>282</v>
      </c>
      <c r="E2" s="77"/>
      <c r="F2" s="77"/>
      <c r="G2" s="77"/>
      <c r="H2" s="77"/>
      <c r="I2" s="77"/>
      <c r="J2" s="77"/>
      <c r="K2" s="77"/>
      <c r="L2" s="77"/>
    </row>
    <row r="3" spans="2:17" ht="15" customHeight="1" x14ac:dyDescent="0.3">
      <c r="B3" s="331" t="s">
        <v>187</v>
      </c>
      <c r="C3" s="337" t="s">
        <v>267</v>
      </c>
      <c r="D3" s="338"/>
      <c r="E3" s="338"/>
      <c r="F3" s="338"/>
      <c r="G3" s="332" t="s">
        <v>188</v>
      </c>
      <c r="H3" s="339">
        <f>H22/(100-(C4/C5%))%</f>
        <v>1366.1867832595526</v>
      </c>
      <c r="I3" s="332" t="s">
        <v>189</v>
      </c>
      <c r="J3" s="339">
        <f>H3/P9</f>
        <v>1241.9879847814113</v>
      </c>
      <c r="K3" s="332" t="s">
        <v>190</v>
      </c>
      <c r="L3" s="360">
        <f>G49+10</f>
        <v>55</v>
      </c>
      <c r="N3" s="398" t="s">
        <v>198</v>
      </c>
      <c r="O3" s="378"/>
      <c r="P3" s="375">
        <v>3</v>
      </c>
      <c r="Q3" s="395"/>
    </row>
    <row r="4" spans="2:17" ht="15" customHeight="1" x14ac:dyDescent="0.3">
      <c r="B4" s="40" t="s">
        <v>191</v>
      </c>
      <c r="C4" s="364">
        <v>35</v>
      </c>
      <c r="D4" s="340"/>
      <c r="E4" s="333"/>
      <c r="F4" s="333"/>
      <c r="G4" s="41" t="s">
        <v>192</v>
      </c>
      <c r="H4" s="341">
        <f>H3*C4%</f>
        <v>478.16537414084337</v>
      </c>
      <c r="I4" s="41" t="s">
        <v>189</v>
      </c>
      <c r="J4" s="342"/>
      <c r="K4" s="41"/>
      <c r="L4" s="334"/>
      <c r="N4" s="399" t="s">
        <v>235</v>
      </c>
      <c r="O4" s="379"/>
      <c r="P4" s="376">
        <v>200</v>
      </c>
      <c r="Q4" s="396" t="s">
        <v>197</v>
      </c>
    </row>
    <row r="5" spans="2:17" ht="15" customHeight="1" x14ac:dyDescent="0.3">
      <c r="B5" s="40" t="s">
        <v>193</v>
      </c>
      <c r="C5" s="365">
        <f>100-C6</f>
        <v>97</v>
      </c>
      <c r="D5" s="41"/>
      <c r="E5" s="333"/>
      <c r="F5" s="333"/>
      <c r="G5" s="41" t="s">
        <v>194</v>
      </c>
      <c r="H5" s="341">
        <f>H4/C5%</f>
        <v>492.95399395963233</v>
      </c>
      <c r="I5" s="41" t="s">
        <v>189</v>
      </c>
      <c r="J5" s="333"/>
      <c r="K5" s="333"/>
      <c r="L5" s="334"/>
      <c r="N5" s="428" t="s">
        <v>236</v>
      </c>
      <c r="O5" s="379"/>
      <c r="P5" s="429">
        <v>0.9</v>
      </c>
      <c r="Q5" s="381"/>
    </row>
    <row r="6" spans="2:17" ht="15" customHeight="1" x14ac:dyDescent="0.3">
      <c r="B6" s="343" t="s">
        <v>195</v>
      </c>
      <c r="C6" s="344">
        <v>3</v>
      </c>
      <c r="D6" s="345"/>
      <c r="E6" s="346"/>
      <c r="F6" s="346"/>
      <c r="G6" s="347" t="s">
        <v>196</v>
      </c>
      <c r="H6" s="341">
        <f>P10</f>
        <v>197.649390063129</v>
      </c>
      <c r="I6" s="348" t="s">
        <v>197</v>
      </c>
      <c r="J6" s="335"/>
      <c r="K6" s="349" t="s">
        <v>264</v>
      </c>
      <c r="L6" s="426">
        <v>101325</v>
      </c>
      <c r="N6" s="400" t="s">
        <v>237</v>
      </c>
      <c r="O6" s="380"/>
      <c r="P6" s="377">
        <f>((J3/1000)/((SQRT(P4))*P5*P3))*1000</f>
        <v>32.526597266338904</v>
      </c>
      <c r="Q6" s="397"/>
    </row>
    <row r="7" spans="2:17" x14ac:dyDescent="0.3">
      <c r="B7" s="1"/>
      <c r="C7" s="1"/>
      <c r="D7" s="2"/>
      <c r="E7" s="3"/>
      <c r="F7" s="1"/>
      <c r="G7" s="2"/>
      <c r="H7" s="3"/>
      <c r="I7" s="2"/>
      <c r="J7" s="4"/>
      <c r="K7" s="4"/>
      <c r="L7" s="3"/>
      <c r="N7" s="382" t="s">
        <v>200</v>
      </c>
      <c r="O7" s="383"/>
      <c r="P7" s="384">
        <f>(P8/P9)*0.9</f>
        <v>416.45454545454544</v>
      </c>
      <c r="Q7" s="381" t="s">
        <v>209</v>
      </c>
    </row>
    <row r="8" spans="2:17" ht="15.6" x14ac:dyDescent="0.3">
      <c r="B8" s="5" t="s">
        <v>0</v>
      </c>
      <c r="C8" s="6" t="s">
        <v>1</v>
      </c>
      <c r="D8" s="7" t="s">
        <v>2</v>
      </c>
      <c r="E8" s="8"/>
      <c r="F8" s="6" t="s">
        <v>3</v>
      </c>
      <c r="G8" s="28" t="s">
        <v>4</v>
      </c>
      <c r="H8" s="30"/>
      <c r="I8" s="28" t="s">
        <v>5</v>
      </c>
      <c r="J8" s="29"/>
      <c r="K8" s="29"/>
      <c r="L8" s="30"/>
      <c r="N8" s="382" t="s">
        <v>201</v>
      </c>
      <c r="O8" s="383"/>
      <c r="P8" s="385">
        <v>509</v>
      </c>
      <c r="Q8" s="381" t="s">
        <v>210</v>
      </c>
    </row>
    <row r="9" spans="2:17" x14ac:dyDescent="0.3">
      <c r="B9" s="11"/>
      <c r="C9" s="6"/>
      <c r="D9" s="7"/>
      <c r="E9" s="8"/>
      <c r="F9" s="11"/>
      <c r="G9" s="27" t="s">
        <v>15</v>
      </c>
      <c r="H9" s="8"/>
      <c r="I9" s="7"/>
      <c r="J9" s="10"/>
      <c r="K9" s="10"/>
      <c r="L9" s="8"/>
      <c r="N9" s="382" t="s">
        <v>202</v>
      </c>
      <c r="O9" s="383"/>
      <c r="P9" s="427">
        <v>1.1000000000000001</v>
      </c>
      <c r="Q9" s="381" t="s">
        <v>212</v>
      </c>
    </row>
    <row r="10" spans="2:17" x14ac:dyDescent="0.3">
      <c r="B10" s="12"/>
      <c r="C10" s="13"/>
      <c r="D10" s="7" t="s">
        <v>6</v>
      </c>
      <c r="E10" s="8" t="s">
        <v>7</v>
      </c>
      <c r="F10" s="6" t="s">
        <v>8</v>
      </c>
      <c r="G10" s="7" t="s">
        <v>9</v>
      </c>
      <c r="H10" s="8" t="s">
        <v>7</v>
      </c>
      <c r="I10" s="7" t="s">
        <v>10</v>
      </c>
      <c r="J10" s="10" t="s">
        <v>11</v>
      </c>
      <c r="K10" s="10" t="s">
        <v>12</v>
      </c>
      <c r="L10" s="8" t="s">
        <v>13</v>
      </c>
      <c r="N10" s="382" t="s">
        <v>203</v>
      </c>
      <c r="O10" s="383"/>
      <c r="P10" s="374">
        <v>197.649390063129</v>
      </c>
      <c r="Q10" s="381" t="s">
        <v>199</v>
      </c>
    </row>
    <row r="11" spans="2:17" x14ac:dyDescent="0.3">
      <c r="B11" s="12"/>
      <c r="C11" s="14"/>
      <c r="D11" s="280" t="s">
        <v>184</v>
      </c>
      <c r="E11" s="31" t="s">
        <v>16</v>
      </c>
      <c r="F11" s="14"/>
      <c r="G11" s="15"/>
      <c r="H11" s="31" t="s">
        <v>17</v>
      </c>
      <c r="I11" s="15"/>
      <c r="J11" s="9"/>
      <c r="K11" s="9"/>
      <c r="L11" s="16"/>
      <c r="N11" s="382" t="s">
        <v>204</v>
      </c>
      <c r="O11" s="383"/>
      <c r="P11" s="386">
        <f>(P7)*SQRT(P10/P4)</f>
        <v>414.00000657676497</v>
      </c>
      <c r="Q11" s="381" t="s">
        <v>210</v>
      </c>
    </row>
    <row r="12" spans="2:17" x14ac:dyDescent="0.3">
      <c r="B12" s="277"/>
      <c r="C12" s="1"/>
      <c r="D12" s="4"/>
      <c r="E12" s="278"/>
      <c r="F12" s="1"/>
      <c r="G12" s="4"/>
      <c r="H12" s="279"/>
      <c r="I12" s="2"/>
      <c r="J12" s="4"/>
      <c r="K12" s="4"/>
      <c r="L12" s="3"/>
      <c r="N12" s="382"/>
      <c r="O12" s="383" t="s">
        <v>205</v>
      </c>
      <c r="P12" s="386">
        <f>P11*2</f>
        <v>828.00001315352995</v>
      </c>
      <c r="Q12" s="381" t="s">
        <v>210</v>
      </c>
    </row>
    <row r="13" spans="2:17" ht="16.2" customHeight="1" x14ac:dyDescent="0.3">
      <c r="B13" s="251" t="s">
        <v>169</v>
      </c>
      <c r="C13" s="363">
        <v>23.5</v>
      </c>
      <c r="D13" s="211">
        <f>((22.41/273)*(C13+273))*((1/29)+((1/18)*G13))</f>
        <v>0.85144766862447907</v>
      </c>
      <c r="E13" s="212">
        <f>D13*F13</f>
        <v>25543.430058734371</v>
      </c>
      <c r="F13" s="273">
        <v>30000</v>
      </c>
      <c r="G13" s="274">
        <v>8.9999999999999993E-3</v>
      </c>
      <c r="H13" s="275">
        <f>F13*G13</f>
        <v>270</v>
      </c>
      <c r="I13" s="351">
        <f>(((1.005+(1.88*G13))*C13)+(2487*G13))</f>
        <v>46.398119999999999</v>
      </c>
      <c r="J13" s="356">
        <f>I13/4.1855</f>
        <v>11.085442599450483</v>
      </c>
      <c r="K13" s="276">
        <f>I13*F13</f>
        <v>1391943.5999999999</v>
      </c>
      <c r="L13" s="217">
        <f>K13/4.1855</f>
        <v>332563.27798351448</v>
      </c>
      <c r="N13" s="382"/>
      <c r="O13" s="383" t="s">
        <v>211</v>
      </c>
      <c r="P13" s="386">
        <f>P11*3</f>
        <v>1242.000019730295</v>
      </c>
      <c r="Q13" s="381" t="s">
        <v>210</v>
      </c>
    </row>
    <row r="14" spans="2:17" ht="16.2" customHeight="1" x14ac:dyDescent="0.3">
      <c r="B14" s="196"/>
      <c r="C14" s="197"/>
      <c r="D14" s="326">
        <f>1/D13</f>
        <v>1.1744703014050275</v>
      </c>
      <c r="E14" s="198"/>
      <c r="F14" s="197"/>
      <c r="G14" s="199"/>
      <c r="H14" s="198"/>
      <c r="I14" s="352"/>
      <c r="J14" s="357"/>
      <c r="K14" s="201"/>
      <c r="L14" s="202"/>
      <c r="N14" s="387" t="s">
        <v>231</v>
      </c>
      <c r="O14" s="388" t="s">
        <v>270</v>
      </c>
      <c r="P14" s="388" t="s">
        <v>269</v>
      </c>
      <c r="Q14" s="381"/>
    </row>
    <row r="15" spans="2:17" ht="16.2" customHeight="1" x14ac:dyDescent="0.3">
      <c r="B15" s="203"/>
      <c r="C15" s="204"/>
      <c r="D15" s="205"/>
      <c r="E15" s="205"/>
      <c r="F15" s="204"/>
      <c r="G15" s="205"/>
      <c r="H15" s="205"/>
      <c r="I15" s="353"/>
      <c r="J15" s="358"/>
      <c r="K15" s="207"/>
      <c r="L15" s="208"/>
      <c r="N15" s="389" t="s">
        <v>214</v>
      </c>
      <c r="O15" s="101"/>
      <c r="P15" s="101"/>
      <c r="Q15" s="102"/>
    </row>
    <row r="16" spans="2:17" ht="16.2" customHeight="1" x14ac:dyDescent="0.3">
      <c r="B16" s="209" t="s">
        <v>206</v>
      </c>
      <c r="C16" s="362">
        <v>170</v>
      </c>
      <c r="D16" s="211">
        <f>((22.41/273)*(C16+273))*((1/29)+((1/18)*G16))</f>
        <v>1.2721460951117849</v>
      </c>
      <c r="E16" s="212">
        <f>D16*F16</f>
        <v>38164.382853353549</v>
      </c>
      <c r="F16" s="213">
        <f>F13</f>
        <v>30000</v>
      </c>
      <c r="G16" s="199">
        <f>G13</f>
        <v>8.9999999999999993E-3</v>
      </c>
      <c r="H16" s="214">
        <f>F16*G16</f>
        <v>270</v>
      </c>
      <c r="I16" s="351">
        <f>(((1.005+(1.88*$G$16))*$C$16)+(2487*$G$16))</f>
        <v>196.10939999999999</v>
      </c>
      <c r="J16" s="356">
        <f>I16/4.1855</f>
        <v>46.854473778521083</v>
      </c>
      <c r="K16" s="212">
        <f>F16*I16</f>
        <v>5883282</v>
      </c>
      <c r="L16" s="217">
        <f>K16/4.1855</f>
        <v>1405634.2133556325</v>
      </c>
      <c r="N16" s="390" t="s">
        <v>213</v>
      </c>
      <c r="O16" s="77"/>
      <c r="P16" s="77"/>
      <c r="Q16" s="77"/>
    </row>
    <row r="17" spans="2:17" ht="16.2" customHeight="1" x14ac:dyDescent="0.3">
      <c r="B17" s="209"/>
      <c r="C17" s="218"/>
      <c r="D17" s="326">
        <f>1/D16</f>
        <v>0.78607323784783456</v>
      </c>
      <c r="E17" s="212"/>
      <c r="F17" s="213"/>
      <c r="G17" s="199"/>
      <c r="H17" s="214"/>
      <c r="I17" s="351"/>
      <c r="J17" s="356"/>
      <c r="K17" s="212"/>
      <c r="L17" s="217"/>
      <c r="N17" s="77"/>
      <c r="O17" s="77"/>
      <c r="P17" s="77"/>
      <c r="Q17" s="77"/>
    </row>
    <row r="18" spans="2:17" ht="16.2" customHeight="1" x14ac:dyDescent="0.3">
      <c r="B18" s="196" t="s">
        <v>230</v>
      </c>
      <c r="C18" s="235"/>
      <c r="D18" s="326"/>
      <c r="E18" s="212"/>
      <c r="F18" s="213">
        <f>F16</f>
        <v>30000</v>
      </c>
      <c r="G18" s="336">
        <f>H18/F18</f>
        <v>6.7066933460757372E-3</v>
      </c>
      <c r="H18" s="275">
        <f>0.1875*((L16-L13)/1000)</f>
        <v>201.20080038227212</v>
      </c>
      <c r="I18" s="351"/>
      <c r="J18" s="356"/>
      <c r="K18" s="212"/>
      <c r="L18" s="217"/>
      <c r="N18" s="77"/>
      <c r="O18" s="77"/>
      <c r="P18" s="77"/>
      <c r="Q18" s="77"/>
    </row>
    <row r="19" spans="2:17" ht="16.2" customHeight="1" x14ac:dyDescent="0.3">
      <c r="B19" s="196"/>
      <c r="C19" s="218"/>
      <c r="D19" s="326"/>
      <c r="E19" s="212"/>
      <c r="F19" s="228"/>
      <c r="G19" s="199"/>
      <c r="H19" s="275"/>
      <c r="I19" s="351"/>
      <c r="J19" s="356"/>
      <c r="K19" s="212"/>
      <c r="L19" s="217"/>
      <c r="N19" s="391" t="s">
        <v>265</v>
      </c>
      <c r="O19" s="95"/>
      <c r="P19" s="77"/>
      <c r="Q19" s="77"/>
    </row>
    <row r="20" spans="2:17" ht="16.2" customHeight="1" x14ac:dyDescent="0.3">
      <c r="B20" s="209" t="s">
        <v>208</v>
      </c>
      <c r="C20" s="361">
        <f>C16</f>
        <v>170</v>
      </c>
      <c r="D20" s="211">
        <f>((22.41/273)*(C20+273))*((1/29)+((1/18)*G20))</f>
        <v>1.2856954581690299</v>
      </c>
      <c r="E20" s="212">
        <f>D20*F20</f>
        <v>38570.863745070899</v>
      </c>
      <c r="F20" s="213">
        <f>F13</f>
        <v>30000</v>
      </c>
      <c r="G20" s="199">
        <f>H20/F20</f>
        <v>1.5706693346075738E-2</v>
      </c>
      <c r="H20" s="214">
        <f>SUM(H16:H18)</f>
        <v>471.20080038227212</v>
      </c>
      <c r="I20" s="351">
        <f>(((1.005+(1.88*$G$20))*$C$20)+(2487*$G$20))</f>
        <v>214.93240554509617</v>
      </c>
      <c r="J20" s="356">
        <f>I20/4.1855</f>
        <v>51.351667792401422</v>
      </c>
      <c r="K20" s="212">
        <f>F20*I20</f>
        <v>6447972.1663528848</v>
      </c>
      <c r="L20" s="217">
        <f>K20/4.1855</f>
        <v>1540550.0337720427</v>
      </c>
      <c r="N20" s="392">
        <f>(L16-L13)/860</f>
        <v>1247.7569015954859</v>
      </c>
      <c r="O20" s="97" t="s">
        <v>219</v>
      </c>
      <c r="P20" s="393"/>
      <c r="Q20" s="77"/>
    </row>
    <row r="21" spans="2:17" ht="16.2" customHeight="1" x14ac:dyDescent="0.3">
      <c r="B21" s="209"/>
      <c r="C21" s="218"/>
      <c r="D21" s="326">
        <f>1/D20</f>
        <v>0.77778916744724969</v>
      </c>
      <c r="E21" s="212"/>
      <c r="F21" s="213"/>
      <c r="G21" s="199"/>
      <c r="H21" s="214"/>
      <c r="I21" s="351"/>
      <c r="J21" s="356"/>
      <c r="K21" s="212"/>
      <c r="L21" s="217"/>
      <c r="N21" s="392">
        <f>N20/(9.95)</f>
        <v>125.40270367793829</v>
      </c>
      <c r="O21" s="97" t="s">
        <v>268</v>
      </c>
      <c r="P21" s="77"/>
      <c r="Q21" s="77"/>
    </row>
    <row r="22" spans="2:17" ht="16.2" customHeight="1" x14ac:dyDescent="0.3">
      <c r="B22" s="219" t="s">
        <v>170</v>
      </c>
      <c r="C22" s="218"/>
      <c r="D22" s="220"/>
      <c r="E22" s="221"/>
      <c r="F22" s="222"/>
      <c r="G22" s="223"/>
      <c r="H22" s="224">
        <v>873.23278929992011</v>
      </c>
      <c r="I22" s="354"/>
      <c r="J22" s="356"/>
      <c r="K22" s="212"/>
      <c r="L22" s="217"/>
      <c r="N22" s="394">
        <f>N21*1.6</f>
        <v>200.64432588470129</v>
      </c>
      <c r="O22" s="102" t="s">
        <v>218</v>
      </c>
      <c r="P22" s="77"/>
      <c r="Q22" s="77"/>
    </row>
    <row r="23" spans="2:17" ht="16.2" customHeight="1" x14ac:dyDescent="0.3">
      <c r="B23" s="226"/>
      <c r="C23" s="227"/>
      <c r="D23" s="211"/>
      <c r="E23" s="212"/>
      <c r="F23" s="228"/>
      <c r="G23" s="229"/>
      <c r="H23" s="217"/>
      <c r="I23" s="354"/>
      <c r="J23" s="356"/>
      <c r="K23" s="212"/>
      <c r="L23" s="217"/>
      <c r="N23" s="77"/>
      <c r="O23" s="77"/>
      <c r="P23" s="77"/>
      <c r="Q23" s="77"/>
    </row>
    <row r="24" spans="2:17" ht="16.2" customHeight="1" x14ac:dyDescent="0.3">
      <c r="B24" s="203"/>
      <c r="C24" s="230"/>
      <c r="D24" s="193"/>
      <c r="E24" s="231"/>
      <c r="F24" s="232"/>
      <c r="G24" s="233"/>
      <c r="H24" s="195"/>
      <c r="I24" s="353"/>
      <c r="J24" s="358"/>
      <c r="K24" s="231"/>
      <c r="L24" s="195"/>
      <c r="N24" s="390" t="s">
        <v>263</v>
      </c>
      <c r="O24" s="77"/>
      <c r="P24" s="77"/>
      <c r="Q24" s="77"/>
    </row>
    <row r="25" spans="2:17" ht="16.2" customHeight="1" x14ac:dyDescent="0.3">
      <c r="B25" s="209" t="s">
        <v>207</v>
      </c>
      <c r="C25" s="235">
        <f>(I25-(2487*G25))/((1.005+(1.88*G25)))</f>
        <v>94.999999684677377</v>
      </c>
      <c r="D25" s="236">
        <f>((22.41/273)*(C25+273))*((1/29)+((1/18)*G25))</f>
        <v>1.1168767836416049</v>
      </c>
      <c r="E25" s="237">
        <f>D25*F25</f>
        <v>33506.303509248144</v>
      </c>
      <c r="F25" s="238">
        <f>F16+F22</f>
        <v>30000</v>
      </c>
      <c r="G25" s="239">
        <f>H25/F25</f>
        <v>4.4814452989406409E-2</v>
      </c>
      <c r="H25" s="237">
        <f>SUM(H20:H23)</f>
        <v>1344.4335896821922</v>
      </c>
      <c r="I25" s="355">
        <f>I20</f>
        <v>214.93240554509617</v>
      </c>
      <c r="J25" s="359">
        <f>I25/4.1855</f>
        <v>51.351667792401422</v>
      </c>
      <c r="K25" s="212">
        <f>F25*I25</f>
        <v>6447972.1663528848</v>
      </c>
      <c r="L25" s="217">
        <f>K25/4.1855</f>
        <v>1540550.0337720427</v>
      </c>
      <c r="N25" s="390" t="s">
        <v>266</v>
      </c>
      <c r="O25" s="77"/>
      <c r="P25" s="77"/>
      <c r="Q25" s="77"/>
    </row>
    <row r="26" spans="2:17" ht="16.2" customHeight="1" x14ac:dyDescent="0.3">
      <c r="B26" s="17"/>
      <c r="C26" s="18"/>
      <c r="D26" s="327">
        <f>1/D25</f>
        <v>0.89535391427823829</v>
      </c>
      <c r="E26" s="19"/>
      <c r="F26" s="20"/>
      <c r="G26" s="21"/>
      <c r="H26" s="22"/>
      <c r="I26" s="373" t="s">
        <v>229</v>
      </c>
      <c r="J26" s="24"/>
      <c r="K26" s="25"/>
      <c r="L26" s="26"/>
    </row>
    <row r="27" spans="2:17" x14ac:dyDescent="0.3">
      <c r="B27" s="79"/>
      <c r="C27" s="77"/>
      <c r="D27" s="77"/>
      <c r="E27" s="77"/>
      <c r="F27" s="77"/>
      <c r="G27" s="77"/>
      <c r="H27" s="77"/>
      <c r="I27" s="77"/>
      <c r="J27" s="77"/>
      <c r="K27" s="77"/>
      <c r="L27" s="77"/>
      <c r="N27" s="401"/>
    </row>
    <row r="28" spans="2:17" ht="16.8" customHeight="1" x14ac:dyDescent="0.3">
      <c r="B28" s="243" t="s">
        <v>171</v>
      </c>
      <c r="C28" s="244"/>
      <c r="D28" s="244"/>
      <c r="E28" s="244"/>
      <c r="F28" s="245"/>
      <c r="G28" s="246"/>
      <c r="H28" s="246"/>
      <c r="I28" s="247"/>
      <c r="J28" s="248"/>
      <c r="K28" s="249"/>
      <c r="L28" s="250"/>
    </row>
    <row r="29" spans="2:17" ht="16.8" customHeight="1" x14ac:dyDescent="0.3">
      <c r="B29" s="251" t="s">
        <v>173</v>
      </c>
      <c r="C29" s="252"/>
      <c r="D29" s="252"/>
      <c r="E29" s="252"/>
      <c r="F29" s="252"/>
      <c r="G29" s="268">
        <f>G13</f>
        <v>8.9999999999999993E-3</v>
      </c>
      <c r="H29" s="253"/>
      <c r="I29" s="254">
        <f>100000*(G29/(G29+$B$56))</f>
        <v>1447.999993403394</v>
      </c>
      <c r="J29" s="253" t="s">
        <v>18</v>
      </c>
      <c r="K29" s="255" t="s">
        <v>23</v>
      </c>
      <c r="L29" s="256"/>
      <c r="N29" s="401"/>
    </row>
    <row r="30" spans="2:17" ht="16.8" customHeight="1" x14ac:dyDescent="0.3">
      <c r="B30" s="269" t="s">
        <v>29</v>
      </c>
      <c r="C30" s="253"/>
      <c r="D30" s="253"/>
      <c r="E30" s="253"/>
      <c r="F30" s="253"/>
      <c r="G30" s="257">
        <f>C13</f>
        <v>23.5</v>
      </c>
      <c r="H30" s="270"/>
      <c r="I30" s="259">
        <f>611.14*EXP(17.269*(((273.16+G30)-273.16)/((273.16+G30)-35.86)))</f>
        <v>2896.8815193735572</v>
      </c>
      <c r="J30" s="253" t="s">
        <v>18</v>
      </c>
      <c r="K30" s="255" t="s">
        <v>24</v>
      </c>
      <c r="L30" s="256"/>
    </row>
    <row r="31" spans="2:17" ht="16.8" customHeight="1" x14ac:dyDescent="0.3">
      <c r="B31" s="269" t="s">
        <v>142</v>
      </c>
      <c r="C31" s="253"/>
      <c r="D31" s="253"/>
      <c r="E31" s="253"/>
      <c r="F31" s="253"/>
      <c r="G31" s="257">
        <f>G30*((I35/100)*0.3362+0.6716)+((I35/100)*6.0409-5.9852)</f>
        <v>16.766078757838265</v>
      </c>
      <c r="H31" s="270"/>
      <c r="I31" s="259">
        <f>611.14*EXP(17.269*(((273.16+G31)-273.16)/((273.16+G31)-35.86)))</f>
        <v>1910.126839364093</v>
      </c>
      <c r="J31" s="253" t="s">
        <v>18</v>
      </c>
      <c r="K31" s="255" t="s">
        <v>39</v>
      </c>
      <c r="L31" s="256"/>
      <c r="N31" s="401"/>
    </row>
    <row r="32" spans="2:17" ht="16.8" customHeight="1" x14ac:dyDescent="0.3">
      <c r="B32" s="269" t="s">
        <v>143</v>
      </c>
      <c r="C32" s="253"/>
      <c r="D32" s="253"/>
      <c r="E32" s="253"/>
      <c r="F32" s="253"/>
      <c r="G32" s="257">
        <f>3928.5/(LN(101325*140974)-LN(I29))-231.667</f>
        <v>12.271323019064141</v>
      </c>
      <c r="H32" s="270"/>
      <c r="I32" s="259">
        <f>611.14*EXP(17.269*(((273.16+G32)-273.16)/((273.16+G32)-35.86)))</f>
        <v>1428.5796098592245</v>
      </c>
      <c r="J32" s="253" t="s">
        <v>18</v>
      </c>
      <c r="K32" s="255" t="s">
        <v>40</v>
      </c>
      <c r="L32" s="256"/>
    </row>
    <row r="33" spans="2:12" ht="16.8" customHeight="1" x14ac:dyDescent="0.3">
      <c r="B33" s="269" t="s">
        <v>141</v>
      </c>
      <c r="C33" s="253"/>
      <c r="D33" s="253"/>
      <c r="E33" s="253"/>
      <c r="F33" s="253"/>
      <c r="G33" s="260">
        <f>(18/29)*(I30/($L$6-I30))</f>
        <v>1.8267791959156711E-2</v>
      </c>
      <c r="H33" s="270"/>
      <c r="I33" s="259"/>
      <c r="J33" s="253"/>
      <c r="K33" s="255" t="s">
        <v>140</v>
      </c>
      <c r="L33" s="256"/>
    </row>
    <row r="34" spans="2:12" ht="16.8" customHeight="1" x14ac:dyDescent="0.3">
      <c r="B34" s="269" t="s">
        <v>144</v>
      </c>
      <c r="C34" s="253"/>
      <c r="D34" s="253"/>
      <c r="E34" s="253"/>
      <c r="F34" s="253"/>
      <c r="G34" s="260">
        <f>(18/29)*(I31/($L$6-I31))</f>
        <v>1.1925740400480816E-2</v>
      </c>
      <c r="H34" s="270"/>
      <c r="I34" s="259"/>
      <c r="J34" s="253"/>
      <c r="K34" s="255" t="s">
        <v>139</v>
      </c>
      <c r="L34" s="256"/>
    </row>
    <row r="35" spans="2:12" ht="16.8" customHeight="1" x14ac:dyDescent="0.3">
      <c r="B35" s="261" t="s">
        <v>41</v>
      </c>
      <c r="C35" s="262"/>
      <c r="D35" s="262"/>
      <c r="E35" s="262"/>
      <c r="F35" s="263" t="s">
        <v>19</v>
      </c>
      <c r="G35" s="263"/>
      <c r="H35" s="263"/>
      <c r="I35" s="264">
        <f>I29/I30%</f>
        <v>49.984784801158177</v>
      </c>
      <c r="J35" s="262" t="s">
        <v>20</v>
      </c>
      <c r="K35" s="265" t="s">
        <v>25</v>
      </c>
      <c r="L35" s="266"/>
    </row>
    <row r="36" spans="2:12" ht="16.8" customHeight="1" x14ac:dyDescent="0.3">
      <c r="B36" s="77"/>
      <c r="C36" s="77"/>
      <c r="D36" s="77"/>
      <c r="E36" s="77"/>
      <c r="F36" s="77"/>
      <c r="G36" s="77"/>
      <c r="H36" s="77"/>
      <c r="I36" s="77"/>
      <c r="J36" s="77"/>
      <c r="K36" s="80"/>
      <c r="L36" s="77"/>
    </row>
    <row r="37" spans="2:12" ht="16.8" customHeight="1" x14ac:dyDescent="0.3">
      <c r="B37" s="243" t="s">
        <v>232</v>
      </c>
      <c r="C37" s="244"/>
      <c r="D37" s="244"/>
      <c r="E37" s="244"/>
      <c r="F37" s="245"/>
      <c r="G37" s="246"/>
      <c r="H37" s="246"/>
      <c r="I37" s="247"/>
      <c r="J37" s="248"/>
      <c r="K37" s="267"/>
      <c r="L37" s="250"/>
    </row>
    <row r="38" spans="2:12" ht="16.8" customHeight="1" x14ac:dyDescent="0.3">
      <c r="B38" s="251" t="s">
        <v>174</v>
      </c>
      <c r="C38" s="252"/>
      <c r="D38" s="252"/>
      <c r="E38" s="252"/>
      <c r="F38" s="252"/>
      <c r="G38" s="268">
        <f>G20</f>
        <v>1.5706693346075738E-2</v>
      </c>
      <c r="H38" s="253"/>
      <c r="I38" s="254">
        <f>100000*(G38/(G38+0.58))</f>
        <v>2636.6487940317529</v>
      </c>
      <c r="J38" s="253" t="s">
        <v>18</v>
      </c>
      <c r="K38" s="255" t="s">
        <v>23</v>
      </c>
      <c r="L38" s="256"/>
    </row>
    <row r="39" spans="2:12" ht="16.8" customHeight="1" x14ac:dyDescent="0.3">
      <c r="B39" s="269" t="s">
        <v>29</v>
      </c>
      <c r="C39" s="252"/>
      <c r="D39" s="252"/>
      <c r="E39" s="252"/>
      <c r="F39" s="252"/>
      <c r="G39" s="257">
        <f>C16</f>
        <v>170</v>
      </c>
      <c r="H39" s="258"/>
      <c r="I39" s="259">
        <f>((G39/100)^4)*L6</f>
        <v>846276.53249999986</v>
      </c>
      <c r="J39" s="253" t="s">
        <v>18</v>
      </c>
      <c r="K39" s="255" t="s">
        <v>24</v>
      </c>
      <c r="L39" s="256"/>
    </row>
    <row r="40" spans="2:12" ht="16.8" customHeight="1" x14ac:dyDescent="0.3">
      <c r="B40" s="269" t="s">
        <v>142</v>
      </c>
      <c r="C40" s="252"/>
      <c r="D40" s="252"/>
      <c r="E40" s="252"/>
      <c r="F40" s="252"/>
      <c r="G40" s="257">
        <f>VLOOKUP(I20,'Air humide'!$H$2:$K$222,4)</f>
        <v>45</v>
      </c>
      <c r="H40" s="270" t="s">
        <v>234</v>
      </c>
      <c r="I40" s="259">
        <f>611.14*EXP(17.269*(((273.16+G40)-273.16)/((273.16+G40)-35.86)))</f>
        <v>9586.2885797597028</v>
      </c>
      <c r="J40" s="253" t="s">
        <v>18</v>
      </c>
      <c r="K40" s="255" t="s">
        <v>39</v>
      </c>
      <c r="L40" s="256"/>
    </row>
    <row r="41" spans="2:12" ht="16.8" customHeight="1" x14ac:dyDescent="0.3">
      <c r="B41" s="269" t="s">
        <v>143</v>
      </c>
      <c r="C41" s="252"/>
      <c r="D41" s="252"/>
      <c r="E41" s="252"/>
      <c r="F41" s="252"/>
      <c r="G41" s="257">
        <f>3928.5/(LN(101325*140974)-LN(I38))-231.667</f>
        <v>21.700344344726886</v>
      </c>
      <c r="H41" s="258"/>
      <c r="I41" s="259">
        <f>611.14*EXP(17.269*(((273.16+G41)-273.16)/((273.16+G41)-35.86)))</f>
        <v>2597.2520556419131</v>
      </c>
      <c r="J41" s="253" t="s">
        <v>18</v>
      </c>
      <c r="K41" s="255" t="s">
        <v>40</v>
      </c>
      <c r="L41" s="256"/>
    </row>
    <row r="42" spans="2:12" ht="16.8" customHeight="1" x14ac:dyDescent="0.3">
      <c r="B42" s="269"/>
      <c r="C42" s="252"/>
      <c r="D42" s="252"/>
      <c r="E42" s="252"/>
      <c r="F42" s="252"/>
      <c r="G42" s="260"/>
      <c r="H42" s="258"/>
      <c r="I42" s="259"/>
      <c r="J42" s="252"/>
      <c r="K42" s="255"/>
      <c r="L42" s="256"/>
    </row>
    <row r="43" spans="2:12" ht="16.8" customHeight="1" x14ac:dyDescent="0.3">
      <c r="B43" s="269" t="s">
        <v>144</v>
      </c>
      <c r="C43" s="252"/>
      <c r="D43" s="252"/>
      <c r="E43" s="252"/>
      <c r="F43" s="252"/>
      <c r="G43" s="260">
        <f>(18/29)*(I40/($L$6-I40))</f>
        <v>6.4859316866767394E-2</v>
      </c>
      <c r="H43" s="258"/>
      <c r="I43" s="259"/>
      <c r="J43" s="252"/>
      <c r="K43" s="255" t="s">
        <v>139</v>
      </c>
      <c r="L43" s="256"/>
    </row>
    <row r="44" spans="2:12" ht="16.8" customHeight="1" x14ac:dyDescent="0.3">
      <c r="B44" s="261" t="s">
        <v>41</v>
      </c>
      <c r="C44" s="262"/>
      <c r="D44" s="262"/>
      <c r="E44" s="262"/>
      <c r="F44" s="263" t="s">
        <v>19</v>
      </c>
      <c r="G44" s="263"/>
      <c r="H44" s="263"/>
      <c r="I44" s="350">
        <f>I38/I39%</f>
        <v>0.31155877455833308</v>
      </c>
      <c r="J44" s="262" t="s">
        <v>20</v>
      </c>
      <c r="K44" s="265" t="s">
        <v>25</v>
      </c>
      <c r="L44" s="266"/>
    </row>
    <row r="45" spans="2:12" ht="16.8" customHeight="1" x14ac:dyDescent="0.3"/>
    <row r="46" spans="2:12" ht="16.8" customHeight="1" x14ac:dyDescent="0.3">
      <c r="B46" s="243" t="s">
        <v>233</v>
      </c>
      <c r="C46" s="244"/>
      <c r="D46" s="244"/>
      <c r="E46" s="244"/>
      <c r="F46" s="245"/>
      <c r="G46" s="246"/>
      <c r="H46" s="246"/>
      <c r="I46" s="247"/>
      <c r="J46" s="248"/>
      <c r="K46" s="267"/>
      <c r="L46" s="250"/>
    </row>
    <row r="47" spans="2:12" ht="16.8" customHeight="1" x14ac:dyDescent="0.3">
      <c r="B47" s="251" t="s">
        <v>28</v>
      </c>
      <c r="C47" s="252"/>
      <c r="D47" s="252"/>
      <c r="E47" s="252"/>
      <c r="F47" s="252"/>
      <c r="G47" s="268">
        <f>G25</f>
        <v>4.4814452989406409E-2</v>
      </c>
      <c r="H47" s="253"/>
      <c r="I47" s="254">
        <f>100000*(G47/(G47+B56))</f>
        <v>6817.3232898135584</v>
      </c>
      <c r="J47" s="253" t="s">
        <v>18</v>
      </c>
      <c r="K47" s="255" t="s">
        <v>23</v>
      </c>
      <c r="L47" s="256"/>
    </row>
    <row r="48" spans="2:12" ht="16.8" customHeight="1" x14ac:dyDescent="0.3">
      <c r="B48" s="269" t="s">
        <v>29</v>
      </c>
      <c r="C48" s="252"/>
      <c r="D48" s="252"/>
      <c r="E48" s="252"/>
      <c r="F48" s="252"/>
      <c r="G48" s="257">
        <f>C25</f>
        <v>94.999999684677377</v>
      </c>
      <c r="H48" s="258"/>
      <c r="I48" s="259">
        <f t="shared" ref="I48" si="0">611.14*EXP(17.269*(((273.16+G48)-273.16)/((273.16+G48)-35.86)))</f>
        <v>85160.727317434794</v>
      </c>
      <c r="J48" s="253" t="s">
        <v>18</v>
      </c>
      <c r="K48" s="255" t="s">
        <v>24</v>
      </c>
      <c r="L48" s="256"/>
    </row>
    <row r="49" spans="2:12" ht="16.8" customHeight="1" x14ac:dyDescent="0.3">
      <c r="B49" s="269" t="s">
        <v>142</v>
      </c>
      <c r="C49" s="252"/>
      <c r="D49" s="252"/>
      <c r="E49" s="252"/>
      <c r="F49" s="252"/>
      <c r="G49" s="257">
        <f>VLOOKUP(I25,'Air humide'!$H$2:$K$222,4)</f>
        <v>45</v>
      </c>
      <c r="H49" s="270" t="s">
        <v>234</v>
      </c>
      <c r="I49" s="259">
        <f>611.14*EXP(17.269*(((273.16+G49)-273.16)/((273.16+G49)-35.86)))</f>
        <v>9586.2885797597028</v>
      </c>
      <c r="J49" s="253" t="s">
        <v>18</v>
      </c>
      <c r="K49" s="255" t="s">
        <v>39</v>
      </c>
      <c r="L49" s="256"/>
    </row>
    <row r="50" spans="2:12" ht="16.8" customHeight="1" x14ac:dyDescent="0.3">
      <c r="B50" s="269" t="s">
        <v>143</v>
      </c>
      <c r="C50" s="252"/>
      <c r="D50" s="252"/>
      <c r="E50" s="252"/>
      <c r="F50" s="252"/>
      <c r="G50" s="257">
        <f>3928.5/(LN(101325*140974)-LN(I47))-231.667</f>
        <v>38.236595028990536</v>
      </c>
      <c r="H50" s="258"/>
      <c r="I50" s="259">
        <f>611.14*EXP(17.269*(((273.16+G50)-273.16)/((273.16+G50)-35.86)))</f>
        <v>6712.7844930382307</v>
      </c>
      <c r="J50" s="253" t="s">
        <v>18</v>
      </c>
      <c r="K50" s="255" t="s">
        <v>40</v>
      </c>
      <c r="L50" s="256"/>
    </row>
    <row r="51" spans="2:12" ht="16.8" customHeight="1" x14ac:dyDescent="0.3">
      <c r="B51" s="269"/>
      <c r="C51" s="252"/>
      <c r="D51" s="252"/>
      <c r="E51" s="252"/>
      <c r="F51" s="252"/>
      <c r="G51" s="260"/>
      <c r="H51" s="258"/>
      <c r="I51" s="259"/>
      <c r="J51" s="252"/>
      <c r="K51" s="255"/>
      <c r="L51" s="256"/>
    </row>
    <row r="52" spans="2:12" ht="16.8" customHeight="1" x14ac:dyDescent="0.3">
      <c r="B52" s="269" t="s">
        <v>144</v>
      </c>
      <c r="C52" s="252"/>
      <c r="D52" s="252"/>
      <c r="E52" s="252"/>
      <c r="F52" s="252"/>
      <c r="G52" s="260">
        <f>(18/29)*(I49/($L$6-I49))</f>
        <v>6.4859316866767394E-2</v>
      </c>
      <c r="H52" s="258"/>
      <c r="I52" s="259"/>
      <c r="J52" s="252"/>
      <c r="K52" s="255" t="s">
        <v>139</v>
      </c>
      <c r="L52" s="256"/>
    </row>
    <row r="53" spans="2:12" ht="16.8" customHeight="1" x14ac:dyDescent="0.3">
      <c r="B53" s="261" t="s">
        <v>41</v>
      </c>
      <c r="C53" s="262"/>
      <c r="D53" s="262"/>
      <c r="E53" s="262"/>
      <c r="F53" s="263" t="s">
        <v>19</v>
      </c>
      <c r="G53" s="263"/>
      <c r="H53" s="263"/>
      <c r="I53" s="264">
        <f>I47/I48%</f>
        <v>8.005243149699897</v>
      </c>
      <c r="J53" s="262" t="s">
        <v>20</v>
      </c>
      <c r="K53" s="265" t="s">
        <v>25</v>
      </c>
      <c r="L53" s="266"/>
    </row>
    <row r="55" spans="2:12" hidden="1" x14ac:dyDescent="0.3">
      <c r="B55" s="78" t="s">
        <v>166</v>
      </c>
    </row>
    <row r="56" spans="2:12" hidden="1" x14ac:dyDescent="0.3">
      <c r="B56" s="189">
        <v>0.61254696415752785</v>
      </c>
    </row>
    <row r="59" spans="2:12" x14ac:dyDescent="0.3">
      <c r="D59" s="77"/>
      <c r="E59" s="77"/>
      <c r="F59" s="77"/>
    </row>
    <row r="60" spans="2:12" x14ac:dyDescent="0.3">
      <c r="D60" s="77"/>
      <c r="E60" s="77"/>
      <c r="F60" s="7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B2:L103"/>
  <sheetViews>
    <sheetView showGridLines="0" zoomScale="75" zoomScaleNormal="75" workbookViewId="0">
      <selection activeCell="C119" sqref="C119"/>
    </sheetView>
  </sheetViews>
  <sheetFormatPr baseColWidth="10" defaultRowHeight="14.4" x14ac:dyDescent="0.3"/>
  <cols>
    <col min="1" max="1" width="11.5546875" customWidth="1"/>
    <col min="2" max="2" width="27.77734375" customWidth="1"/>
    <col min="3" max="3" width="41.33203125" customWidth="1"/>
    <col min="4" max="7" width="12.77734375" customWidth="1"/>
    <col min="8" max="8" width="16.21875" customWidth="1"/>
    <col min="9" max="10" width="12.77734375" customWidth="1"/>
    <col min="11" max="11" width="3" customWidth="1"/>
  </cols>
  <sheetData>
    <row r="2" spans="2:11" s="77" customFormat="1" ht="22.8" x14ac:dyDescent="0.4">
      <c r="B2" s="135" t="s">
        <v>110</v>
      </c>
      <c r="C2" s="136"/>
      <c r="D2" s="136"/>
      <c r="E2" s="136"/>
      <c r="F2" s="136"/>
      <c r="G2" s="136"/>
      <c r="H2" s="136"/>
      <c r="I2" s="136"/>
      <c r="J2" s="136"/>
      <c r="K2" s="137"/>
    </row>
    <row r="3" spans="2:11" s="77" customFormat="1" ht="17.399999999999999" x14ac:dyDescent="0.3">
      <c r="B3" s="91"/>
      <c r="C3" s="92"/>
      <c r="D3" s="92"/>
      <c r="E3" s="92"/>
      <c r="F3" s="92"/>
      <c r="G3" s="92"/>
      <c r="H3" s="92"/>
      <c r="I3" s="92"/>
      <c r="J3" s="92"/>
    </row>
    <row r="4" spans="2:11" s="77" customFormat="1" ht="19.2" x14ac:dyDescent="0.3">
      <c r="B4" s="103" t="s">
        <v>45</v>
      </c>
      <c r="C4" s="138" t="s">
        <v>122</v>
      </c>
      <c r="D4" s="112"/>
      <c r="E4" s="112"/>
      <c r="F4" s="112"/>
      <c r="G4" s="112"/>
      <c r="H4" s="94"/>
      <c r="I4" s="147" t="s">
        <v>138</v>
      </c>
      <c r="J4" s="94"/>
      <c r="K4" s="95"/>
    </row>
    <row r="5" spans="2:11" s="77" customFormat="1" ht="13.8" x14ac:dyDescent="0.25">
      <c r="B5" s="98"/>
      <c r="K5" s="97"/>
    </row>
    <row r="6" spans="2:11" s="77" customFormat="1" ht="17.399999999999999" x14ac:dyDescent="0.3">
      <c r="B6" s="99" t="s">
        <v>81</v>
      </c>
      <c r="C6" s="100">
        <f>611.213+(43.53*E6)+(1.598*((E6^2))+(0.0159*E6^3)+(0.000567)*E6^4)</f>
        <v>2895.9354079375003</v>
      </c>
      <c r="D6" s="100" t="s">
        <v>18</v>
      </c>
      <c r="E6" s="104">
        <f>Melange!C9</f>
        <v>23.5</v>
      </c>
      <c r="F6" s="100" t="s">
        <v>44</v>
      </c>
      <c r="G6" s="101"/>
      <c r="H6" s="101"/>
      <c r="I6" s="101"/>
      <c r="J6" s="101"/>
      <c r="K6" s="102"/>
    </row>
    <row r="7" spans="2:11" s="77" customFormat="1" ht="13.8" x14ac:dyDescent="0.25"/>
    <row r="8" spans="2:11" s="77" customFormat="1" ht="13.8" x14ac:dyDescent="0.25">
      <c r="B8" s="93"/>
      <c r="C8" s="94"/>
      <c r="D8" s="94"/>
      <c r="E8" s="94"/>
      <c r="F8" s="94"/>
      <c r="G8" s="94"/>
      <c r="H8" s="94"/>
      <c r="I8" s="147" t="s">
        <v>138</v>
      </c>
      <c r="J8" s="94"/>
      <c r="K8" s="95"/>
    </row>
    <row r="9" spans="2:11" s="77" customFormat="1" ht="17.399999999999999" x14ac:dyDescent="0.3">
      <c r="B9" s="96" t="s">
        <v>46</v>
      </c>
      <c r="I9" s="86"/>
      <c r="K9" s="97"/>
    </row>
    <row r="10" spans="2:11" s="77" customFormat="1" ht="13.8" x14ac:dyDescent="0.25">
      <c r="B10" s="98"/>
      <c r="I10" s="86"/>
      <c r="K10" s="97"/>
    </row>
    <row r="11" spans="2:11" s="77" customFormat="1" ht="13.8" x14ac:dyDescent="0.25">
      <c r="B11" s="98"/>
      <c r="I11" s="86"/>
      <c r="K11" s="97"/>
    </row>
    <row r="12" spans="2:11" s="77" customFormat="1" ht="17.399999999999999" x14ac:dyDescent="0.3">
      <c r="B12" s="99" t="s">
        <v>81</v>
      </c>
      <c r="C12" s="100">
        <f>611.657*EXP(17.2799-(4102.99/((E6+273.15)-35.719)))</f>
        <v>2897.6241937873056</v>
      </c>
      <c r="D12" s="100" t="s">
        <v>18</v>
      </c>
      <c r="E12" s="101"/>
      <c r="F12" s="101"/>
      <c r="G12" s="101"/>
      <c r="H12" s="101"/>
      <c r="I12" s="110"/>
      <c r="J12" s="101"/>
      <c r="K12" s="102"/>
    </row>
    <row r="13" spans="2:11" s="77" customFormat="1" ht="13.8" x14ac:dyDescent="0.25">
      <c r="I13" s="86"/>
    </row>
    <row r="14" spans="2:11" s="77" customFormat="1" ht="13.8" x14ac:dyDescent="0.25">
      <c r="B14" s="93"/>
      <c r="C14" s="94"/>
      <c r="D14" s="94"/>
      <c r="E14" s="94"/>
      <c r="F14" s="94"/>
      <c r="G14" s="94"/>
      <c r="H14" s="94"/>
      <c r="I14" s="147" t="s">
        <v>138</v>
      </c>
      <c r="J14" s="94"/>
      <c r="K14" s="95"/>
    </row>
    <row r="15" spans="2:11" s="77" customFormat="1" ht="17.399999999999999" x14ac:dyDescent="0.3">
      <c r="B15" s="96" t="s">
        <v>48</v>
      </c>
      <c r="E15" s="105" t="s">
        <v>47</v>
      </c>
      <c r="I15" s="86"/>
      <c r="K15" s="97"/>
    </row>
    <row r="16" spans="2:11" s="77" customFormat="1" ht="13.8" x14ac:dyDescent="0.25">
      <c r="B16" s="98"/>
      <c r="I16" s="86"/>
      <c r="K16" s="97"/>
    </row>
    <row r="17" spans="2:11" s="77" customFormat="1" ht="13.8" x14ac:dyDescent="0.25">
      <c r="B17" s="98"/>
      <c r="I17" s="86"/>
      <c r="K17" s="97"/>
    </row>
    <row r="18" spans="2:11" s="77" customFormat="1" ht="17.399999999999999" x14ac:dyDescent="0.3">
      <c r="B18" s="99" t="s">
        <v>81</v>
      </c>
      <c r="C18" s="100">
        <f>6.1121*EXP((((18.729-(E6/227.3))*E6)/(E6+257.87)))*100</f>
        <v>2895.8972252954841</v>
      </c>
      <c r="D18" s="100" t="s">
        <v>18</v>
      </c>
      <c r="E18" s="101"/>
      <c r="F18" s="101"/>
      <c r="G18" s="101"/>
      <c r="H18" s="101"/>
      <c r="I18" s="110"/>
      <c r="J18" s="101"/>
      <c r="K18" s="102"/>
    </row>
    <row r="19" spans="2:11" s="77" customFormat="1" ht="13.8" x14ac:dyDescent="0.25">
      <c r="I19" s="86"/>
    </row>
    <row r="20" spans="2:11" s="77" customFormat="1" ht="13.8" x14ac:dyDescent="0.25">
      <c r="B20" s="93"/>
      <c r="C20" s="94"/>
      <c r="D20" s="94"/>
      <c r="E20" s="94"/>
      <c r="F20" s="94"/>
      <c r="G20" s="94"/>
      <c r="H20" s="94"/>
      <c r="I20" s="147" t="s">
        <v>138</v>
      </c>
      <c r="J20" s="94"/>
      <c r="K20" s="95"/>
    </row>
    <row r="21" spans="2:11" s="77" customFormat="1" ht="17.399999999999999" x14ac:dyDescent="0.3">
      <c r="B21" s="96" t="s">
        <v>49</v>
      </c>
      <c r="K21" s="97"/>
    </row>
    <row r="22" spans="2:11" s="77" customFormat="1" ht="13.8" x14ac:dyDescent="0.25">
      <c r="B22" s="98"/>
      <c r="K22" s="97"/>
    </row>
    <row r="23" spans="2:11" s="77" customFormat="1" ht="13.8" x14ac:dyDescent="0.25">
      <c r="B23" s="98"/>
      <c r="K23" s="97"/>
    </row>
    <row r="24" spans="2:11" s="77" customFormat="1" ht="13.8" x14ac:dyDescent="0.25">
      <c r="B24" s="98"/>
      <c r="K24" s="97"/>
    </row>
    <row r="25" spans="2:11" s="77" customFormat="1" ht="13.8" x14ac:dyDescent="0.25">
      <c r="B25" s="98"/>
      <c r="K25" s="97"/>
    </row>
    <row r="26" spans="2:11" s="77" customFormat="1" ht="13.8" x14ac:dyDescent="0.25">
      <c r="B26" s="98"/>
      <c r="K26" s="97"/>
    </row>
    <row r="27" spans="2:11" s="77" customFormat="1" ht="17.399999999999999" x14ac:dyDescent="0.3">
      <c r="B27" s="99" t="s">
        <v>81</v>
      </c>
      <c r="C27" s="100">
        <f>(0.18709*((E6+273.15)^3))-(167.29*((E6+273.15)^2))+(50095.97*(E6+273.15))-5020436</f>
        <v>2898.7055287938565</v>
      </c>
      <c r="D27" s="100" t="s">
        <v>18</v>
      </c>
      <c r="E27" s="101"/>
      <c r="F27" s="101"/>
      <c r="G27" s="101"/>
      <c r="H27" s="101"/>
      <c r="I27" s="101"/>
      <c r="J27" s="101"/>
      <c r="K27" s="102"/>
    </row>
    <row r="28" spans="2:11" s="77" customFormat="1" ht="13.8" x14ac:dyDescent="0.25"/>
    <row r="29" spans="2:11" s="77" customFormat="1" ht="17.399999999999999" x14ac:dyDescent="0.3">
      <c r="B29" s="103" t="s">
        <v>50</v>
      </c>
      <c r="C29" s="139" t="s">
        <v>121</v>
      </c>
      <c r="D29" s="138" t="s">
        <v>55</v>
      </c>
      <c r="E29" s="106"/>
      <c r="F29" s="106"/>
      <c r="G29" s="106"/>
      <c r="H29" s="94"/>
      <c r="I29" s="147" t="s">
        <v>131</v>
      </c>
      <c r="J29" s="94"/>
      <c r="K29" s="95"/>
    </row>
    <row r="30" spans="2:11" s="77" customFormat="1" ht="13.8" x14ac:dyDescent="0.25">
      <c r="B30" s="98"/>
      <c r="K30" s="97"/>
    </row>
    <row r="31" spans="2:11" s="77" customFormat="1" ht="17.399999999999999" x14ac:dyDescent="0.3">
      <c r="B31" s="107" t="s">
        <v>82</v>
      </c>
      <c r="C31" s="108">
        <f>(((1.005+(1.88*F31))*E6)+(2500*F31))</f>
        <v>46.515119999999996</v>
      </c>
      <c r="D31" s="109" t="s">
        <v>53</v>
      </c>
      <c r="E31" s="110"/>
      <c r="F31" s="111">
        <f>Melange!G9</f>
        <v>8.9999999999999993E-3</v>
      </c>
      <c r="G31" s="109" t="s">
        <v>51</v>
      </c>
      <c r="H31" s="101"/>
      <c r="I31" s="101"/>
      <c r="J31" s="101"/>
      <c r="K31" s="102"/>
    </row>
    <row r="32" spans="2:11" s="77" customFormat="1" ht="13.8" x14ac:dyDescent="0.25">
      <c r="H32" s="86"/>
    </row>
    <row r="33" spans="2:11" s="77" customFormat="1" ht="17.399999999999999" x14ac:dyDescent="0.3">
      <c r="B33" s="103" t="s">
        <v>56</v>
      </c>
      <c r="C33" s="139" t="s">
        <v>120</v>
      </c>
      <c r="D33" s="138" t="s">
        <v>52</v>
      </c>
      <c r="E33" s="140"/>
      <c r="F33" s="140"/>
      <c r="G33" s="94"/>
      <c r="H33" s="94"/>
      <c r="I33" s="147" t="s">
        <v>131</v>
      </c>
      <c r="J33" s="94"/>
      <c r="K33" s="95"/>
    </row>
    <row r="34" spans="2:11" s="77" customFormat="1" ht="13.8" x14ac:dyDescent="0.25">
      <c r="B34" s="98"/>
      <c r="I34" s="86"/>
      <c r="K34" s="97"/>
    </row>
    <row r="35" spans="2:11" s="77" customFormat="1" ht="20.399999999999999" x14ac:dyDescent="0.35">
      <c r="B35" s="99" t="s">
        <v>82</v>
      </c>
      <c r="C35" s="113">
        <f>(0.24*E6)+(F31*(597.1 + (0.46*E6)))</f>
        <v>11.111189999999999</v>
      </c>
      <c r="D35" s="109" t="s">
        <v>54</v>
      </c>
      <c r="E35" s="108">
        <f>C35*4.1855</f>
        <v>46.505885745</v>
      </c>
      <c r="F35" s="109" t="s">
        <v>53</v>
      </c>
      <c r="G35" s="110"/>
      <c r="H35" s="101"/>
      <c r="I35" s="110"/>
      <c r="J35" s="101"/>
      <c r="K35" s="102"/>
    </row>
    <row r="36" spans="2:11" s="77" customFormat="1" ht="13.8" x14ac:dyDescent="0.25">
      <c r="I36" s="86"/>
    </row>
    <row r="37" spans="2:11" s="77" customFormat="1" ht="17.399999999999999" x14ac:dyDescent="0.3">
      <c r="B37" s="103" t="s">
        <v>57</v>
      </c>
      <c r="C37" s="139" t="s">
        <v>119</v>
      </c>
      <c r="D37" s="139" t="s">
        <v>113</v>
      </c>
      <c r="E37" s="138" t="s">
        <v>156</v>
      </c>
      <c r="F37" s="140"/>
      <c r="G37" s="140"/>
      <c r="H37" s="149">
        <v>0.621977</v>
      </c>
      <c r="I37" s="147" t="s">
        <v>137</v>
      </c>
      <c r="J37" s="94"/>
      <c r="K37" s="95"/>
    </row>
    <row r="38" spans="2:11" s="77" customFormat="1" ht="13.8" x14ac:dyDescent="0.25">
      <c r="B38" s="98"/>
      <c r="I38" s="86"/>
      <c r="K38" s="97"/>
    </row>
    <row r="39" spans="2:11" s="77" customFormat="1" ht="17.399999999999999" x14ac:dyDescent="0.3">
      <c r="B39" s="107" t="s">
        <v>83</v>
      </c>
      <c r="C39" s="100">
        <f>100000*(F31/(F31+0.62))</f>
        <v>1430.8426073131955</v>
      </c>
      <c r="D39" s="109" t="s">
        <v>18</v>
      </c>
      <c r="E39" s="108" t="s">
        <v>63</v>
      </c>
      <c r="F39" s="101"/>
      <c r="G39" s="101"/>
      <c r="H39" s="101"/>
      <c r="I39" s="110"/>
      <c r="J39" s="101"/>
      <c r="K39" s="102"/>
    </row>
    <row r="40" spans="2:11" s="77" customFormat="1" ht="13.8" x14ac:dyDescent="0.25">
      <c r="I40" s="86"/>
    </row>
    <row r="41" spans="2:11" s="77" customFormat="1" ht="17.399999999999999" x14ac:dyDescent="0.3">
      <c r="B41" s="103" t="s">
        <v>59</v>
      </c>
      <c r="C41" s="94"/>
      <c r="D41" s="94"/>
      <c r="E41" s="94"/>
      <c r="F41" s="94"/>
      <c r="G41" s="94"/>
      <c r="H41" s="94"/>
      <c r="I41" s="147" t="s">
        <v>132</v>
      </c>
      <c r="J41" s="94"/>
      <c r="K41" s="95"/>
    </row>
    <row r="42" spans="2:11" s="77" customFormat="1" ht="13.8" x14ac:dyDescent="0.25">
      <c r="B42" s="98"/>
      <c r="K42" s="97"/>
    </row>
    <row r="43" spans="2:11" s="77" customFormat="1" ht="13.8" x14ac:dyDescent="0.25">
      <c r="B43" s="98"/>
      <c r="K43" s="97"/>
    </row>
    <row r="44" spans="2:11" s="77" customFormat="1" ht="13.8" x14ac:dyDescent="0.25">
      <c r="B44" s="98"/>
      <c r="C44" s="114"/>
      <c r="K44" s="97"/>
    </row>
    <row r="45" spans="2:11" s="77" customFormat="1" ht="13.8" x14ac:dyDescent="0.25">
      <c r="B45" s="98"/>
      <c r="K45" s="97"/>
    </row>
    <row r="46" spans="2:11" s="77" customFormat="1" ht="13.8" x14ac:dyDescent="0.25">
      <c r="B46" s="98"/>
      <c r="K46" s="97"/>
    </row>
    <row r="47" spans="2:11" s="77" customFormat="1" ht="13.8" x14ac:dyDescent="0.25">
      <c r="B47" s="98"/>
      <c r="K47" s="97"/>
    </row>
    <row r="48" spans="2:11" s="77" customFormat="1" ht="13.8" x14ac:dyDescent="0.25">
      <c r="B48" s="98"/>
      <c r="K48" s="97"/>
    </row>
    <row r="49" spans="2:11" s="77" customFormat="1" ht="13.8" x14ac:dyDescent="0.25">
      <c r="B49" s="98"/>
      <c r="K49" s="97"/>
    </row>
    <row r="50" spans="2:11" s="77" customFormat="1" ht="17.399999999999999" x14ac:dyDescent="0.3">
      <c r="B50" s="98"/>
      <c r="C50" s="141" t="s">
        <v>118</v>
      </c>
      <c r="D50" s="142" t="s">
        <v>58</v>
      </c>
      <c r="E50" s="143"/>
      <c r="F50" s="143"/>
      <c r="K50" s="97"/>
    </row>
    <row r="51" spans="2:11" s="77" customFormat="1" ht="13.8" x14ac:dyDescent="0.25">
      <c r="B51" s="98"/>
      <c r="K51" s="97"/>
    </row>
    <row r="52" spans="2:11" s="77" customFormat="1" ht="17.399999999999999" x14ac:dyDescent="0.3">
      <c r="B52" s="107" t="s">
        <v>86</v>
      </c>
      <c r="C52" s="115">
        <f>-0.0023*C31^2+0.5955*C31-5.9859</f>
        <v>16.737444266186881</v>
      </c>
      <c r="D52" s="109" t="s">
        <v>44</v>
      </c>
      <c r="E52" s="116" t="s">
        <v>42</v>
      </c>
      <c r="F52" s="110"/>
      <c r="G52" s="101"/>
      <c r="H52" s="101"/>
      <c r="I52" s="101"/>
      <c r="J52" s="101"/>
      <c r="K52" s="102"/>
    </row>
    <row r="53" spans="2:11" s="77" customFormat="1" ht="20.399999999999999" x14ac:dyDescent="0.35">
      <c r="B53" s="75"/>
      <c r="E53" s="81"/>
    </row>
    <row r="54" spans="2:11" s="77" customFormat="1" ht="17.399999999999999" x14ac:dyDescent="0.3">
      <c r="B54" s="103" t="s">
        <v>60</v>
      </c>
      <c r="C54" s="139" t="s">
        <v>117</v>
      </c>
      <c r="D54" s="138" t="s">
        <v>61</v>
      </c>
      <c r="E54" s="140"/>
      <c r="F54" s="140"/>
      <c r="G54" s="140"/>
      <c r="H54" s="140"/>
      <c r="I54" s="147" t="s">
        <v>128</v>
      </c>
      <c r="J54" s="94"/>
      <c r="K54" s="95"/>
    </row>
    <row r="55" spans="2:11" s="77" customFormat="1" ht="13.8" x14ac:dyDescent="0.25">
      <c r="B55" s="98"/>
      <c r="I55" s="86"/>
      <c r="K55" s="97"/>
    </row>
    <row r="56" spans="2:11" s="77" customFormat="1" ht="17.399999999999999" x14ac:dyDescent="0.3">
      <c r="B56" s="107" t="s">
        <v>85</v>
      </c>
      <c r="C56" s="115">
        <f>3928.5/(LN(101325*140974)-LN(C39))-231.667</f>
        <v>12.090904827215724</v>
      </c>
      <c r="D56" s="109" t="s">
        <v>44</v>
      </c>
      <c r="E56" s="109" t="s">
        <v>62</v>
      </c>
      <c r="F56" s="101"/>
      <c r="G56" s="101"/>
      <c r="H56" s="101"/>
      <c r="I56" s="110"/>
      <c r="J56" s="101"/>
      <c r="K56" s="102"/>
    </row>
    <row r="57" spans="2:11" s="77" customFormat="1" ht="13.8" x14ac:dyDescent="0.25">
      <c r="I57" s="86"/>
    </row>
    <row r="58" spans="2:11" s="77" customFormat="1" ht="17.399999999999999" x14ac:dyDescent="0.3">
      <c r="B58" s="103" t="s">
        <v>65</v>
      </c>
      <c r="C58" s="139" t="s">
        <v>130</v>
      </c>
      <c r="D58" s="138" t="s">
        <v>64</v>
      </c>
      <c r="E58" s="140"/>
      <c r="F58" s="140"/>
      <c r="G58" s="140"/>
      <c r="H58" s="94"/>
      <c r="I58" s="147" t="s">
        <v>129</v>
      </c>
      <c r="J58" s="94"/>
      <c r="K58" s="95"/>
    </row>
    <row r="59" spans="2:11" s="77" customFormat="1" ht="13.8" x14ac:dyDescent="0.25">
      <c r="B59" s="98"/>
      <c r="I59" s="86"/>
      <c r="K59" s="97"/>
    </row>
    <row r="60" spans="2:11" s="77" customFormat="1" ht="17.399999999999999" x14ac:dyDescent="0.3">
      <c r="B60" s="107" t="s">
        <v>84</v>
      </c>
      <c r="C60" s="115">
        <f>(G60-(2487*E60))/((1.005+(1.88*E60)))</f>
        <v>23.605454189173322</v>
      </c>
      <c r="D60" s="115" t="s">
        <v>44</v>
      </c>
      <c r="E60" s="111">
        <f>F31</f>
        <v>8.9999999999999993E-3</v>
      </c>
      <c r="F60" s="115" t="s">
        <v>51</v>
      </c>
      <c r="G60" s="115">
        <f>E35</f>
        <v>46.505885745</v>
      </c>
      <c r="H60" s="115" t="s">
        <v>53</v>
      </c>
      <c r="I60" s="110"/>
      <c r="J60" s="101"/>
      <c r="K60" s="102"/>
    </row>
    <row r="61" spans="2:11" s="77" customFormat="1" ht="13.8" x14ac:dyDescent="0.25">
      <c r="I61" s="86"/>
    </row>
    <row r="62" spans="2:11" s="77" customFormat="1" ht="17.399999999999999" x14ac:dyDescent="0.3">
      <c r="B62" s="103" t="s">
        <v>94</v>
      </c>
      <c r="C62" s="139" t="s">
        <v>116</v>
      </c>
      <c r="D62" s="138" t="s">
        <v>66</v>
      </c>
      <c r="E62" s="138"/>
      <c r="F62" s="138"/>
      <c r="G62" s="138"/>
      <c r="H62" s="140"/>
      <c r="I62" s="147" t="s">
        <v>131</v>
      </c>
      <c r="J62" s="94"/>
      <c r="K62" s="95"/>
    </row>
    <row r="63" spans="2:11" s="77" customFormat="1" ht="13.8" x14ac:dyDescent="0.25">
      <c r="B63" s="98"/>
      <c r="I63" s="86"/>
      <c r="K63" s="97"/>
    </row>
    <row r="64" spans="2:11" s="77" customFormat="1" ht="17.399999999999999" x14ac:dyDescent="0.3">
      <c r="B64" s="107" t="s">
        <v>87</v>
      </c>
      <c r="C64" s="108">
        <f>((22.41/273)*(C60+273))*((1/29)+((1/18)*E60))</f>
        <v>0.8517504973715897</v>
      </c>
      <c r="D64" s="115" t="s">
        <v>67</v>
      </c>
      <c r="E64" s="101"/>
      <c r="F64" s="109" t="s">
        <v>68</v>
      </c>
      <c r="G64" s="101"/>
      <c r="H64" s="101"/>
      <c r="I64" s="110"/>
      <c r="J64" s="101"/>
      <c r="K64" s="102"/>
    </row>
    <row r="65" spans="2:11" s="77" customFormat="1" ht="13.8" x14ac:dyDescent="0.25">
      <c r="I65" s="86"/>
    </row>
    <row r="66" spans="2:11" s="77" customFormat="1" ht="21" x14ac:dyDescent="0.45">
      <c r="B66" s="103" t="s">
        <v>95</v>
      </c>
      <c r="C66" s="138" t="s">
        <v>134</v>
      </c>
      <c r="D66" s="94"/>
      <c r="E66" s="94"/>
      <c r="F66" s="94"/>
      <c r="G66" s="94"/>
      <c r="H66" s="94"/>
      <c r="I66" s="147" t="s">
        <v>135</v>
      </c>
      <c r="J66" s="94"/>
      <c r="K66" s="95"/>
    </row>
    <row r="67" spans="2:11" s="77" customFormat="1" ht="13.8" x14ac:dyDescent="0.25">
      <c r="B67" s="98"/>
      <c r="K67" s="97"/>
    </row>
    <row r="68" spans="2:11" s="77" customFormat="1" ht="17.399999999999999" x14ac:dyDescent="0.3">
      <c r="B68" s="117" t="s">
        <v>88</v>
      </c>
      <c r="C68" s="118">
        <f>287.1*F68/(461.5*(F69-F68))</f>
        <v>8.9107295621420699E-3</v>
      </c>
      <c r="D68" s="119" t="s">
        <v>90</v>
      </c>
      <c r="E68" s="120" t="s">
        <v>92</v>
      </c>
      <c r="F68" s="121">
        <f>C39</f>
        <v>1430.8426073131955</v>
      </c>
      <c r="G68" s="119" t="s">
        <v>18</v>
      </c>
      <c r="H68" s="119" t="s">
        <v>91</v>
      </c>
      <c r="K68" s="97"/>
    </row>
    <row r="69" spans="2:11" s="77" customFormat="1" ht="17.399999999999999" x14ac:dyDescent="0.3">
      <c r="B69" s="98"/>
      <c r="C69" s="119"/>
      <c r="D69" s="119"/>
      <c r="E69" s="120" t="s">
        <v>89</v>
      </c>
      <c r="F69" s="121">
        <f>Melange!L2</f>
        <v>101325</v>
      </c>
      <c r="G69" s="119" t="s">
        <v>18</v>
      </c>
      <c r="H69" s="119"/>
      <c r="K69" s="97"/>
    </row>
    <row r="70" spans="2:11" s="77" customFormat="1" ht="13.8" x14ac:dyDescent="0.25">
      <c r="B70" s="98"/>
      <c r="K70" s="97"/>
    </row>
    <row r="71" spans="2:11" s="77" customFormat="1" ht="17.399999999999999" x14ac:dyDescent="0.3">
      <c r="B71" s="122"/>
      <c r="C71" s="123">
        <f>287.1*F71/(461.5*(F69-F71))</f>
        <v>1.8309354649421312E-2</v>
      </c>
      <c r="D71" s="109" t="s">
        <v>90</v>
      </c>
      <c r="E71" s="124" t="s">
        <v>93</v>
      </c>
      <c r="F71" s="100">
        <f>Melange!I21</f>
        <v>2896.8815193735572</v>
      </c>
      <c r="G71" s="109" t="s">
        <v>18</v>
      </c>
      <c r="H71" s="101"/>
      <c r="I71" s="101"/>
      <c r="J71" s="101"/>
      <c r="K71" s="102"/>
    </row>
    <row r="72" spans="2:11" s="77" customFormat="1" ht="13.8" x14ac:dyDescent="0.25"/>
    <row r="73" spans="2:11" s="77" customFormat="1" ht="21" x14ac:dyDescent="0.45">
      <c r="B73" s="103" t="s">
        <v>96</v>
      </c>
      <c r="C73" s="138" t="s">
        <v>114</v>
      </c>
      <c r="D73" s="94"/>
      <c r="E73" s="94"/>
      <c r="F73" s="94"/>
      <c r="G73" s="94"/>
      <c r="H73" s="94"/>
      <c r="I73" s="147" t="s">
        <v>131</v>
      </c>
      <c r="J73" s="94"/>
      <c r="K73" s="95"/>
    </row>
    <row r="74" spans="2:11" s="77" customFormat="1" ht="13.8" x14ac:dyDescent="0.25">
      <c r="B74" s="98"/>
      <c r="K74" s="97"/>
    </row>
    <row r="75" spans="2:11" s="77" customFormat="1" ht="17.399999999999999" x14ac:dyDescent="0.3">
      <c r="B75" s="117" t="s">
        <v>82</v>
      </c>
      <c r="C75" s="125">
        <f>(1*H75)+(F75*(2490+1.96*H75))</f>
        <v>46.324539999999999</v>
      </c>
      <c r="D75" s="119" t="s">
        <v>97</v>
      </c>
      <c r="E75" s="120" t="s">
        <v>98</v>
      </c>
      <c r="F75" s="126">
        <f>F31</f>
        <v>8.9999999999999993E-3</v>
      </c>
      <c r="G75" s="120" t="s">
        <v>99</v>
      </c>
      <c r="H75" s="127">
        <f>E6</f>
        <v>23.5</v>
      </c>
      <c r="I75" s="144">
        <v>49.6</v>
      </c>
      <c r="J75" s="119" t="s">
        <v>126</v>
      </c>
      <c r="K75" s="97"/>
    </row>
    <row r="76" spans="2:11" s="77" customFormat="1" ht="13.8" x14ac:dyDescent="0.25">
      <c r="B76" s="98"/>
      <c r="K76" s="97"/>
    </row>
    <row r="77" spans="2:11" s="77" customFormat="1" ht="17.399999999999999" x14ac:dyDescent="0.3">
      <c r="B77" s="98"/>
      <c r="C77" s="119" t="s">
        <v>100</v>
      </c>
      <c r="G77" s="128" t="s">
        <v>109</v>
      </c>
      <c r="J77" s="86">
        <v>1.0049999999999999</v>
      </c>
      <c r="K77" s="97"/>
    </row>
    <row r="78" spans="2:11" s="77" customFormat="1" ht="17.399999999999999" x14ac:dyDescent="0.3">
      <c r="B78" s="98"/>
      <c r="C78" s="119" t="s">
        <v>101</v>
      </c>
      <c r="G78" s="128" t="s">
        <v>107</v>
      </c>
      <c r="J78" s="148">
        <v>1.88</v>
      </c>
      <c r="K78" s="97"/>
    </row>
    <row r="79" spans="2:11" s="77" customFormat="1" ht="17.399999999999999" x14ac:dyDescent="0.3">
      <c r="B79" s="122"/>
      <c r="C79" s="109" t="s">
        <v>102</v>
      </c>
      <c r="D79" s="101"/>
      <c r="E79" s="101"/>
      <c r="F79" s="101"/>
      <c r="G79" s="129" t="s">
        <v>108</v>
      </c>
      <c r="H79" s="101"/>
      <c r="I79" s="101"/>
      <c r="J79" s="101"/>
      <c r="K79" s="102"/>
    </row>
    <row r="80" spans="2:11" s="77" customFormat="1" ht="13.8" x14ac:dyDescent="0.25"/>
    <row r="81" spans="2:11" s="77" customFormat="1" ht="17.399999999999999" x14ac:dyDescent="0.3">
      <c r="B81" s="103" t="s">
        <v>103</v>
      </c>
      <c r="C81" s="138" t="s">
        <v>115</v>
      </c>
      <c r="D81" s="94"/>
      <c r="E81" s="94"/>
      <c r="F81" s="94"/>
      <c r="G81" s="94"/>
      <c r="H81" s="94"/>
      <c r="I81" s="147" t="s">
        <v>133</v>
      </c>
      <c r="J81" s="94"/>
      <c r="K81" s="95"/>
    </row>
    <row r="82" spans="2:11" s="77" customFormat="1" ht="13.8" x14ac:dyDescent="0.25">
      <c r="B82" s="98"/>
      <c r="K82" s="97"/>
    </row>
    <row r="83" spans="2:11" s="77" customFormat="1" ht="17.399999999999999" x14ac:dyDescent="0.3">
      <c r="B83" s="130" t="s">
        <v>88</v>
      </c>
      <c r="C83" s="131">
        <f>(18/29)*(F83/(Melange!$L$2-F83))</f>
        <v>1.8267791959156711E-2</v>
      </c>
      <c r="D83" s="119" t="s">
        <v>90</v>
      </c>
      <c r="E83" s="119" t="s">
        <v>104</v>
      </c>
      <c r="F83" s="121">
        <f>Melange!I21</f>
        <v>2896.8815193735572</v>
      </c>
      <c r="G83" s="119" t="s">
        <v>105</v>
      </c>
      <c r="H83" s="132">
        <f>Melange!G21</f>
        <v>23.5</v>
      </c>
      <c r="K83" s="97"/>
    </row>
    <row r="84" spans="2:11" s="77" customFormat="1" ht="17.399999999999999" x14ac:dyDescent="0.3">
      <c r="B84" s="122"/>
      <c r="C84" s="109"/>
      <c r="D84" s="109"/>
      <c r="E84" s="109" t="s">
        <v>106</v>
      </c>
      <c r="F84" s="100">
        <f>Melange!L2</f>
        <v>101325</v>
      </c>
      <c r="G84" s="109"/>
      <c r="H84" s="109"/>
      <c r="I84" s="101"/>
      <c r="J84" s="101"/>
      <c r="K84" s="102"/>
    </row>
    <row r="85" spans="2:11" s="77" customFormat="1" ht="17.399999999999999" x14ac:dyDescent="0.3">
      <c r="C85" s="89"/>
    </row>
    <row r="86" spans="2:11" s="77" customFormat="1" ht="17.399999999999999" x14ac:dyDescent="0.3">
      <c r="B86" s="103" t="s">
        <v>125</v>
      </c>
      <c r="C86" s="138" t="s">
        <v>124</v>
      </c>
      <c r="D86" s="94"/>
      <c r="E86" s="94"/>
      <c r="F86" s="94"/>
      <c r="G86" s="146" t="s">
        <v>127</v>
      </c>
      <c r="H86" s="94"/>
      <c r="I86" s="147" t="s">
        <v>136</v>
      </c>
      <c r="J86" s="94"/>
      <c r="K86" s="95"/>
    </row>
    <row r="87" spans="2:11" s="77" customFormat="1" ht="17.399999999999999" x14ac:dyDescent="0.3">
      <c r="B87" s="98"/>
      <c r="C87" s="89"/>
      <c r="K87" s="97"/>
    </row>
    <row r="88" spans="2:11" s="77" customFormat="1" ht="17.399999999999999" x14ac:dyDescent="0.3">
      <c r="B88" s="99" t="s">
        <v>86</v>
      </c>
      <c r="C88" s="145">
        <f>H75*((I75/100)*0.3362+0.6716)+((I75/100)*6.0409-5.9852)</f>
        <v>16.712433600000001</v>
      </c>
      <c r="D88" s="109" t="s">
        <v>44</v>
      </c>
      <c r="E88" s="101"/>
      <c r="F88" s="101"/>
      <c r="G88" s="101"/>
      <c r="H88" s="101"/>
      <c r="I88" s="101"/>
      <c r="J88" s="101"/>
      <c r="K88" s="102"/>
    </row>
    <row r="89" spans="2:11" s="77" customFormat="1" ht="17.399999999999999" x14ac:dyDescent="0.3">
      <c r="C89" s="89"/>
    </row>
    <row r="90" spans="2:11" s="77" customFormat="1" ht="15.6" x14ac:dyDescent="0.3">
      <c r="B90" s="133" t="s">
        <v>69</v>
      </c>
      <c r="C90" s="134" t="s">
        <v>111</v>
      </c>
      <c r="D90" s="88"/>
      <c r="E90" s="88" t="s">
        <v>75</v>
      </c>
      <c r="F90" s="88"/>
      <c r="G90" s="88"/>
      <c r="H90" s="88"/>
      <c r="I90" s="88"/>
      <c r="J90" s="88"/>
      <c r="K90" s="88"/>
    </row>
    <row r="91" spans="2:11" s="77" customFormat="1" ht="15" x14ac:dyDescent="0.25">
      <c r="B91" s="88"/>
      <c r="C91" s="88"/>
      <c r="D91" s="88"/>
      <c r="E91" s="88"/>
      <c r="F91" s="88"/>
      <c r="G91" s="88"/>
      <c r="H91" s="88"/>
      <c r="I91" s="88"/>
      <c r="J91" s="88"/>
      <c r="K91" s="88"/>
    </row>
    <row r="92" spans="2:11" s="77" customFormat="1" ht="15" x14ac:dyDescent="0.25">
      <c r="B92" s="88"/>
      <c r="C92" s="88" t="s">
        <v>70</v>
      </c>
      <c r="D92" s="88"/>
      <c r="E92" s="88" t="s">
        <v>76</v>
      </c>
      <c r="F92" s="88"/>
      <c r="G92" s="88"/>
      <c r="H92" s="88"/>
      <c r="I92" s="88"/>
      <c r="J92" s="88"/>
      <c r="K92" s="88"/>
    </row>
    <row r="93" spans="2:11" s="77" customFormat="1" ht="15" x14ac:dyDescent="0.25">
      <c r="B93" s="88"/>
      <c r="C93" s="88"/>
      <c r="D93" s="88"/>
      <c r="E93" s="88"/>
      <c r="F93" s="88"/>
      <c r="G93" s="88"/>
      <c r="H93" s="88"/>
      <c r="I93" s="88"/>
      <c r="J93" s="88"/>
      <c r="K93" s="88"/>
    </row>
    <row r="94" spans="2:11" s="77" customFormat="1" ht="15" x14ac:dyDescent="0.25">
      <c r="B94" s="88"/>
      <c r="C94" s="88" t="s">
        <v>71</v>
      </c>
      <c r="D94" s="88"/>
      <c r="E94" s="88" t="s">
        <v>77</v>
      </c>
      <c r="F94" s="88"/>
      <c r="G94" s="88"/>
      <c r="H94" s="88"/>
      <c r="I94" s="88"/>
      <c r="J94" s="88"/>
      <c r="K94" s="88"/>
    </row>
    <row r="95" spans="2:11" s="77" customFormat="1" ht="15" x14ac:dyDescent="0.25">
      <c r="B95" s="88"/>
      <c r="C95" s="88"/>
      <c r="D95" s="88"/>
      <c r="E95" s="88"/>
      <c r="F95" s="88"/>
      <c r="G95" s="88"/>
      <c r="H95" s="88"/>
      <c r="I95" s="88"/>
      <c r="J95" s="88"/>
      <c r="K95" s="88"/>
    </row>
    <row r="96" spans="2:11" s="77" customFormat="1" ht="15" x14ac:dyDescent="0.25">
      <c r="B96" s="88"/>
      <c r="C96" s="88" t="s">
        <v>72</v>
      </c>
      <c r="D96" s="88"/>
      <c r="E96" s="88" t="s">
        <v>80</v>
      </c>
      <c r="F96" s="88"/>
      <c r="G96" s="88"/>
      <c r="H96" s="88"/>
      <c r="I96" s="88"/>
      <c r="J96" s="88"/>
      <c r="K96" s="88"/>
    </row>
    <row r="97" spans="2:12" s="77" customFormat="1" ht="15" x14ac:dyDescent="0.25">
      <c r="B97" s="88"/>
      <c r="C97" s="88"/>
      <c r="D97" s="88"/>
      <c r="E97" s="88"/>
      <c r="F97" s="88"/>
      <c r="G97" s="88"/>
      <c r="H97" s="88"/>
      <c r="I97" s="88"/>
      <c r="J97" s="88"/>
      <c r="K97" s="88"/>
    </row>
    <row r="98" spans="2:12" s="77" customFormat="1" ht="15" x14ac:dyDescent="0.25">
      <c r="B98" s="88"/>
      <c r="C98" s="88" t="s">
        <v>73</v>
      </c>
      <c r="D98" s="88"/>
      <c r="E98" s="88" t="s">
        <v>79</v>
      </c>
      <c r="F98" s="88"/>
      <c r="G98" s="88"/>
      <c r="H98" s="88"/>
      <c r="I98" s="88"/>
      <c r="J98" s="88"/>
      <c r="K98" s="88"/>
    </row>
    <row r="99" spans="2:12" s="77" customFormat="1" ht="15" x14ac:dyDescent="0.25">
      <c r="B99" s="88"/>
      <c r="C99" s="88"/>
      <c r="D99" s="88"/>
      <c r="E99" s="88"/>
      <c r="F99" s="88"/>
      <c r="G99" s="88"/>
      <c r="H99" s="88"/>
      <c r="I99" s="88"/>
      <c r="J99" s="88"/>
      <c r="K99" s="88"/>
    </row>
    <row r="100" spans="2:12" s="77" customFormat="1" ht="15" x14ac:dyDescent="0.25">
      <c r="B100" s="88"/>
      <c r="C100" s="88" t="s">
        <v>78</v>
      </c>
      <c r="D100" s="88"/>
      <c r="E100" s="88" t="s">
        <v>74</v>
      </c>
      <c r="F100" s="88"/>
      <c r="G100" s="88"/>
      <c r="H100" s="88"/>
      <c r="I100" s="88"/>
      <c r="J100" s="88"/>
      <c r="K100" s="88"/>
    </row>
    <row r="101" spans="2:12" s="77" customFormat="1" ht="15" x14ac:dyDescent="0.25">
      <c r="B101" s="88"/>
      <c r="C101" s="88"/>
      <c r="D101" s="88"/>
      <c r="E101" s="88"/>
      <c r="F101" s="88"/>
      <c r="G101" s="88"/>
      <c r="H101" s="88"/>
      <c r="I101" s="88"/>
      <c r="J101" s="88"/>
      <c r="K101" s="88"/>
    </row>
    <row r="102" spans="2:12" s="77" customFormat="1" x14ac:dyDescent="0.3">
      <c r="B102"/>
      <c r="C102" t="s">
        <v>123</v>
      </c>
      <c r="D102"/>
      <c r="E102"/>
      <c r="F102"/>
      <c r="G102"/>
      <c r="H102"/>
      <c r="I102"/>
      <c r="J102"/>
      <c r="K102"/>
      <c r="L102"/>
    </row>
    <row r="103" spans="2:12" ht="15.6" x14ac:dyDescent="0.3">
      <c r="B103" s="90" t="s">
        <v>112</v>
      </c>
    </row>
  </sheetData>
  <printOptions horizontalCentered="1"/>
  <pageMargins left="0.70866141732283472" right="0.70866141732283472" top="0.19685039370078741" bottom="0.19685039370078741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>
    <pageSetUpPr fitToPage="1"/>
  </sheetPr>
  <dimension ref="A1:BI99"/>
  <sheetViews>
    <sheetView showGridLines="0" workbookViewId="0">
      <selection activeCell="M3" sqref="M3"/>
    </sheetView>
  </sheetViews>
  <sheetFormatPr baseColWidth="10" defaultRowHeight="13.2" x14ac:dyDescent="0.25"/>
  <cols>
    <col min="1" max="1" width="14.88671875" style="150" customWidth="1"/>
    <col min="2" max="2" width="14.33203125" style="150" customWidth="1"/>
    <col min="3" max="3" width="12" style="150" customWidth="1"/>
    <col min="4" max="4" width="14.88671875" style="150" customWidth="1"/>
    <col min="5" max="5" width="11.5546875" style="150"/>
    <col min="6" max="6" width="11.33203125" style="150" customWidth="1"/>
    <col min="7" max="7" width="11.5546875" style="150"/>
    <col min="8" max="8" width="10.33203125" style="150" customWidth="1"/>
    <col min="9" max="9" width="11.109375" style="150" customWidth="1"/>
    <col min="10" max="10" width="13.5546875" style="150" bestFit="1" customWidth="1"/>
    <col min="11" max="256" width="11.5546875" style="150"/>
    <col min="257" max="257" width="14.88671875" style="150" customWidth="1"/>
    <col min="258" max="258" width="11" style="150" customWidth="1"/>
    <col min="259" max="259" width="12" style="150" customWidth="1"/>
    <col min="260" max="260" width="14.88671875" style="150" customWidth="1"/>
    <col min="261" max="261" width="11.5546875" style="150"/>
    <col min="262" max="262" width="11.33203125" style="150" customWidth="1"/>
    <col min="263" max="263" width="11.5546875" style="150"/>
    <col min="264" max="264" width="10.33203125" style="150" customWidth="1"/>
    <col min="265" max="265" width="11.109375" style="150" customWidth="1"/>
    <col min="266" max="266" width="13.5546875" style="150" bestFit="1" customWidth="1"/>
    <col min="267" max="512" width="11.5546875" style="150"/>
    <col min="513" max="513" width="14.88671875" style="150" customWidth="1"/>
    <col min="514" max="514" width="11" style="150" customWidth="1"/>
    <col min="515" max="515" width="12" style="150" customWidth="1"/>
    <col min="516" max="516" width="14.88671875" style="150" customWidth="1"/>
    <col min="517" max="517" width="11.5546875" style="150"/>
    <col min="518" max="518" width="11.33203125" style="150" customWidth="1"/>
    <col min="519" max="519" width="11.5546875" style="150"/>
    <col min="520" max="520" width="10.33203125" style="150" customWidth="1"/>
    <col min="521" max="521" width="11.109375" style="150" customWidth="1"/>
    <col min="522" max="522" width="13.5546875" style="150" bestFit="1" customWidth="1"/>
    <col min="523" max="768" width="11.5546875" style="150"/>
    <col min="769" max="769" width="14.88671875" style="150" customWidth="1"/>
    <col min="770" max="770" width="11" style="150" customWidth="1"/>
    <col min="771" max="771" width="12" style="150" customWidth="1"/>
    <col min="772" max="772" width="14.88671875" style="150" customWidth="1"/>
    <col min="773" max="773" width="11.5546875" style="150"/>
    <col min="774" max="774" width="11.33203125" style="150" customWidth="1"/>
    <col min="775" max="775" width="11.5546875" style="150"/>
    <col min="776" max="776" width="10.33203125" style="150" customWidth="1"/>
    <col min="777" max="777" width="11.109375" style="150" customWidth="1"/>
    <col min="778" max="778" width="13.5546875" style="150" bestFit="1" customWidth="1"/>
    <col min="779" max="1024" width="11.5546875" style="150"/>
    <col min="1025" max="1025" width="14.88671875" style="150" customWidth="1"/>
    <col min="1026" max="1026" width="11" style="150" customWidth="1"/>
    <col min="1027" max="1027" width="12" style="150" customWidth="1"/>
    <col min="1028" max="1028" width="14.88671875" style="150" customWidth="1"/>
    <col min="1029" max="1029" width="11.5546875" style="150"/>
    <col min="1030" max="1030" width="11.33203125" style="150" customWidth="1"/>
    <col min="1031" max="1031" width="11.5546875" style="150"/>
    <col min="1032" max="1032" width="10.33203125" style="150" customWidth="1"/>
    <col min="1033" max="1033" width="11.109375" style="150" customWidth="1"/>
    <col min="1034" max="1034" width="13.5546875" style="150" bestFit="1" customWidth="1"/>
    <col min="1035" max="1280" width="11.5546875" style="150"/>
    <col min="1281" max="1281" width="14.88671875" style="150" customWidth="1"/>
    <col min="1282" max="1282" width="11" style="150" customWidth="1"/>
    <col min="1283" max="1283" width="12" style="150" customWidth="1"/>
    <col min="1284" max="1284" width="14.88671875" style="150" customWidth="1"/>
    <col min="1285" max="1285" width="11.5546875" style="150"/>
    <col min="1286" max="1286" width="11.33203125" style="150" customWidth="1"/>
    <col min="1287" max="1287" width="11.5546875" style="150"/>
    <col min="1288" max="1288" width="10.33203125" style="150" customWidth="1"/>
    <col min="1289" max="1289" width="11.109375" style="150" customWidth="1"/>
    <col min="1290" max="1290" width="13.5546875" style="150" bestFit="1" customWidth="1"/>
    <col min="1291" max="1536" width="11.5546875" style="150"/>
    <col min="1537" max="1537" width="14.88671875" style="150" customWidth="1"/>
    <col min="1538" max="1538" width="11" style="150" customWidth="1"/>
    <col min="1539" max="1539" width="12" style="150" customWidth="1"/>
    <col min="1540" max="1540" width="14.88671875" style="150" customWidth="1"/>
    <col min="1541" max="1541" width="11.5546875" style="150"/>
    <col min="1542" max="1542" width="11.33203125" style="150" customWidth="1"/>
    <col min="1543" max="1543" width="11.5546875" style="150"/>
    <col min="1544" max="1544" width="10.33203125" style="150" customWidth="1"/>
    <col min="1545" max="1545" width="11.109375" style="150" customWidth="1"/>
    <col min="1546" max="1546" width="13.5546875" style="150" bestFit="1" customWidth="1"/>
    <col min="1547" max="1792" width="11.5546875" style="150"/>
    <col min="1793" max="1793" width="14.88671875" style="150" customWidth="1"/>
    <col min="1794" max="1794" width="11" style="150" customWidth="1"/>
    <col min="1795" max="1795" width="12" style="150" customWidth="1"/>
    <col min="1796" max="1796" width="14.88671875" style="150" customWidth="1"/>
    <col min="1797" max="1797" width="11.5546875" style="150"/>
    <col min="1798" max="1798" width="11.33203125" style="150" customWidth="1"/>
    <col min="1799" max="1799" width="11.5546875" style="150"/>
    <col min="1800" max="1800" width="10.33203125" style="150" customWidth="1"/>
    <col min="1801" max="1801" width="11.109375" style="150" customWidth="1"/>
    <col min="1802" max="1802" width="13.5546875" style="150" bestFit="1" customWidth="1"/>
    <col min="1803" max="2048" width="11.5546875" style="150"/>
    <col min="2049" max="2049" width="14.88671875" style="150" customWidth="1"/>
    <col min="2050" max="2050" width="11" style="150" customWidth="1"/>
    <col min="2051" max="2051" width="12" style="150" customWidth="1"/>
    <col min="2052" max="2052" width="14.88671875" style="150" customWidth="1"/>
    <col min="2053" max="2053" width="11.5546875" style="150"/>
    <col min="2054" max="2054" width="11.33203125" style="150" customWidth="1"/>
    <col min="2055" max="2055" width="11.5546875" style="150"/>
    <col min="2056" max="2056" width="10.33203125" style="150" customWidth="1"/>
    <col min="2057" max="2057" width="11.109375" style="150" customWidth="1"/>
    <col min="2058" max="2058" width="13.5546875" style="150" bestFit="1" customWidth="1"/>
    <col min="2059" max="2304" width="11.5546875" style="150"/>
    <col min="2305" max="2305" width="14.88671875" style="150" customWidth="1"/>
    <col min="2306" max="2306" width="11" style="150" customWidth="1"/>
    <col min="2307" max="2307" width="12" style="150" customWidth="1"/>
    <col min="2308" max="2308" width="14.88671875" style="150" customWidth="1"/>
    <col min="2309" max="2309" width="11.5546875" style="150"/>
    <col min="2310" max="2310" width="11.33203125" style="150" customWidth="1"/>
    <col min="2311" max="2311" width="11.5546875" style="150"/>
    <col min="2312" max="2312" width="10.33203125" style="150" customWidth="1"/>
    <col min="2313" max="2313" width="11.109375" style="150" customWidth="1"/>
    <col min="2314" max="2314" width="13.5546875" style="150" bestFit="1" customWidth="1"/>
    <col min="2315" max="2560" width="11.5546875" style="150"/>
    <col min="2561" max="2561" width="14.88671875" style="150" customWidth="1"/>
    <col min="2562" max="2562" width="11" style="150" customWidth="1"/>
    <col min="2563" max="2563" width="12" style="150" customWidth="1"/>
    <col min="2564" max="2564" width="14.88671875" style="150" customWidth="1"/>
    <col min="2565" max="2565" width="11.5546875" style="150"/>
    <col min="2566" max="2566" width="11.33203125" style="150" customWidth="1"/>
    <col min="2567" max="2567" width="11.5546875" style="150"/>
    <col min="2568" max="2568" width="10.33203125" style="150" customWidth="1"/>
    <col min="2569" max="2569" width="11.109375" style="150" customWidth="1"/>
    <col min="2570" max="2570" width="13.5546875" style="150" bestFit="1" customWidth="1"/>
    <col min="2571" max="2816" width="11.5546875" style="150"/>
    <col min="2817" max="2817" width="14.88671875" style="150" customWidth="1"/>
    <col min="2818" max="2818" width="11" style="150" customWidth="1"/>
    <col min="2819" max="2819" width="12" style="150" customWidth="1"/>
    <col min="2820" max="2820" width="14.88671875" style="150" customWidth="1"/>
    <col min="2821" max="2821" width="11.5546875" style="150"/>
    <col min="2822" max="2822" width="11.33203125" style="150" customWidth="1"/>
    <col min="2823" max="2823" width="11.5546875" style="150"/>
    <col min="2824" max="2824" width="10.33203125" style="150" customWidth="1"/>
    <col min="2825" max="2825" width="11.109375" style="150" customWidth="1"/>
    <col min="2826" max="2826" width="13.5546875" style="150" bestFit="1" customWidth="1"/>
    <col min="2827" max="3072" width="11.5546875" style="150"/>
    <col min="3073" max="3073" width="14.88671875" style="150" customWidth="1"/>
    <col min="3074" max="3074" width="11" style="150" customWidth="1"/>
    <col min="3075" max="3075" width="12" style="150" customWidth="1"/>
    <col min="3076" max="3076" width="14.88671875" style="150" customWidth="1"/>
    <col min="3077" max="3077" width="11.5546875" style="150"/>
    <col min="3078" max="3078" width="11.33203125" style="150" customWidth="1"/>
    <col min="3079" max="3079" width="11.5546875" style="150"/>
    <col min="3080" max="3080" width="10.33203125" style="150" customWidth="1"/>
    <col min="3081" max="3081" width="11.109375" style="150" customWidth="1"/>
    <col min="3082" max="3082" width="13.5546875" style="150" bestFit="1" customWidth="1"/>
    <col min="3083" max="3328" width="11.5546875" style="150"/>
    <col min="3329" max="3329" width="14.88671875" style="150" customWidth="1"/>
    <col min="3330" max="3330" width="11" style="150" customWidth="1"/>
    <col min="3331" max="3331" width="12" style="150" customWidth="1"/>
    <col min="3332" max="3332" width="14.88671875" style="150" customWidth="1"/>
    <col min="3333" max="3333" width="11.5546875" style="150"/>
    <col min="3334" max="3334" width="11.33203125" style="150" customWidth="1"/>
    <col min="3335" max="3335" width="11.5546875" style="150"/>
    <col min="3336" max="3336" width="10.33203125" style="150" customWidth="1"/>
    <col min="3337" max="3337" width="11.109375" style="150" customWidth="1"/>
    <col min="3338" max="3338" width="13.5546875" style="150" bestFit="1" customWidth="1"/>
    <col min="3339" max="3584" width="11.5546875" style="150"/>
    <col min="3585" max="3585" width="14.88671875" style="150" customWidth="1"/>
    <col min="3586" max="3586" width="11" style="150" customWidth="1"/>
    <col min="3587" max="3587" width="12" style="150" customWidth="1"/>
    <col min="3588" max="3588" width="14.88671875" style="150" customWidth="1"/>
    <col min="3589" max="3589" width="11.5546875" style="150"/>
    <col min="3590" max="3590" width="11.33203125" style="150" customWidth="1"/>
    <col min="3591" max="3591" width="11.5546875" style="150"/>
    <col min="3592" max="3592" width="10.33203125" style="150" customWidth="1"/>
    <col min="3593" max="3593" width="11.109375" style="150" customWidth="1"/>
    <col min="3594" max="3594" width="13.5546875" style="150" bestFit="1" customWidth="1"/>
    <col min="3595" max="3840" width="11.5546875" style="150"/>
    <col min="3841" max="3841" width="14.88671875" style="150" customWidth="1"/>
    <col min="3842" max="3842" width="11" style="150" customWidth="1"/>
    <col min="3843" max="3843" width="12" style="150" customWidth="1"/>
    <col min="3844" max="3844" width="14.88671875" style="150" customWidth="1"/>
    <col min="3845" max="3845" width="11.5546875" style="150"/>
    <col min="3846" max="3846" width="11.33203125" style="150" customWidth="1"/>
    <col min="3847" max="3847" width="11.5546875" style="150"/>
    <col min="3848" max="3848" width="10.33203125" style="150" customWidth="1"/>
    <col min="3849" max="3849" width="11.109375" style="150" customWidth="1"/>
    <col min="3850" max="3850" width="13.5546875" style="150" bestFit="1" customWidth="1"/>
    <col min="3851" max="4096" width="11.5546875" style="150"/>
    <col min="4097" max="4097" width="14.88671875" style="150" customWidth="1"/>
    <col min="4098" max="4098" width="11" style="150" customWidth="1"/>
    <col min="4099" max="4099" width="12" style="150" customWidth="1"/>
    <col min="4100" max="4100" width="14.88671875" style="150" customWidth="1"/>
    <col min="4101" max="4101" width="11.5546875" style="150"/>
    <col min="4102" max="4102" width="11.33203125" style="150" customWidth="1"/>
    <col min="4103" max="4103" width="11.5546875" style="150"/>
    <col min="4104" max="4104" width="10.33203125" style="150" customWidth="1"/>
    <col min="4105" max="4105" width="11.109375" style="150" customWidth="1"/>
    <col min="4106" max="4106" width="13.5546875" style="150" bestFit="1" customWidth="1"/>
    <col min="4107" max="4352" width="11.5546875" style="150"/>
    <col min="4353" max="4353" width="14.88671875" style="150" customWidth="1"/>
    <col min="4354" max="4354" width="11" style="150" customWidth="1"/>
    <col min="4355" max="4355" width="12" style="150" customWidth="1"/>
    <col min="4356" max="4356" width="14.88671875" style="150" customWidth="1"/>
    <col min="4357" max="4357" width="11.5546875" style="150"/>
    <col min="4358" max="4358" width="11.33203125" style="150" customWidth="1"/>
    <col min="4359" max="4359" width="11.5546875" style="150"/>
    <col min="4360" max="4360" width="10.33203125" style="150" customWidth="1"/>
    <col min="4361" max="4361" width="11.109375" style="150" customWidth="1"/>
    <col min="4362" max="4362" width="13.5546875" style="150" bestFit="1" customWidth="1"/>
    <col min="4363" max="4608" width="11.5546875" style="150"/>
    <col min="4609" max="4609" width="14.88671875" style="150" customWidth="1"/>
    <col min="4610" max="4610" width="11" style="150" customWidth="1"/>
    <col min="4611" max="4611" width="12" style="150" customWidth="1"/>
    <col min="4612" max="4612" width="14.88671875" style="150" customWidth="1"/>
    <col min="4613" max="4613" width="11.5546875" style="150"/>
    <col min="4614" max="4614" width="11.33203125" style="150" customWidth="1"/>
    <col min="4615" max="4615" width="11.5546875" style="150"/>
    <col min="4616" max="4616" width="10.33203125" style="150" customWidth="1"/>
    <col min="4617" max="4617" width="11.109375" style="150" customWidth="1"/>
    <col min="4618" max="4618" width="13.5546875" style="150" bestFit="1" customWidth="1"/>
    <col min="4619" max="4864" width="11.5546875" style="150"/>
    <col min="4865" max="4865" width="14.88671875" style="150" customWidth="1"/>
    <col min="4866" max="4866" width="11" style="150" customWidth="1"/>
    <col min="4867" max="4867" width="12" style="150" customWidth="1"/>
    <col min="4868" max="4868" width="14.88671875" style="150" customWidth="1"/>
    <col min="4869" max="4869" width="11.5546875" style="150"/>
    <col min="4870" max="4870" width="11.33203125" style="150" customWidth="1"/>
    <col min="4871" max="4871" width="11.5546875" style="150"/>
    <col min="4872" max="4872" width="10.33203125" style="150" customWidth="1"/>
    <col min="4873" max="4873" width="11.109375" style="150" customWidth="1"/>
    <col min="4874" max="4874" width="13.5546875" style="150" bestFit="1" customWidth="1"/>
    <col min="4875" max="5120" width="11.5546875" style="150"/>
    <col min="5121" max="5121" width="14.88671875" style="150" customWidth="1"/>
    <col min="5122" max="5122" width="11" style="150" customWidth="1"/>
    <col min="5123" max="5123" width="12" style="150" customWidth="1"/>
    <col min="5124" max="5124" width="14.88671875" style="150" customWidth="1"/>
    <col min="5125" max="5125" width="11.5546875" style="150"/>
    <col min="5126" max="5126" width="11.33203125" style="150" customWidth="1"/>
    <col min="5127" max="5127" width="11.5546875" style="150"/>
    <col min="5128" max="5128" width="10.33203125" style="150" customWidth="1"/>
    <col min="5129" max="5129" width="11.109375" style="150" customWidth="1"/>
    <col min="5130" max="5130" width="13.5546875" style="150" bestFit="1" customWidth="1"/>
    <col min="5131" max="5376" width="11.5546875" style="150"/>
    <col min="5377" max="5377" width="14.88671875" style="150" customWidth="1"/>
    <col min="5378" max="5378" width="11" style="150" customWidth="1"/>
    <col min="5379" max="5379" width="12" style="150" customWidth="1"/>
    <col min="5380" max="5380" width="14.88671875" style="150" customWidth="1"/>
    <col min="5381" max="5381" width="11.5546875" style="150"/>
    <col min="5382" max="5382" width="11.33203125" style="150" customWidth="1"/>
    <col min="5383" max="5383" width="11.5546875" style="150"/>
    <col min="5384" max="5384" width="10.33203125" style="150" customWidth="1"/>
    <col min="5385" max="5385" width="11.109375" style="150" customWidth="1"/>
    <col min="5386" max="5386" width="13.5546875" style="150" bestFit="1" customWidth="1"/>
    <col min="5387" max="5632" width="11.5546875" style="150"/>
    <col min="5633" max="5633" width="14.88671875" style="150" customWidth="1"/>
    <col min="5634" max="5634" width="11" style="150" customWidth="1"/>
    <col min="5635" max="5635" width="12" style="150" customWidth="1"/>
    <col min="5636" max="5636" width="14.88671875" style="150" customWidth="1"/>
    <col min="5637" max="5637" width="11.5546875" style="150"/>
    <col min="5638" max="5638" width="11.33203125" style="150" customWidth="1"/>
    <col min="5639" max="5639" width="11.5546875" style="150"/>
    <col min="5640" max="5640" width="10.33203125" style="150" customWidth="1"/>
    <col min="5641" max="5641" width="11.109375" style="150" customWidth="1"/>
    <col min="5642" max="5642" width="13.5546875" style="150" bestFit="1" customWidth="1"/>
    <col min="5643" max="5888" width="11.5546875" style="150"/>
    <col min="5889" max="5889" width="14.88671875" style="150" customWidth="1"/>
    <col min="5890" max="5890" width="11" style="150" customWidth="1"/>
    <col min="5891" max="5891" width="12" style="150" customWidth="1"/>
    <col min="5892" max="5892" width="14.88671875" style="150" customWidth="1"/>
    <col min="5893" max="5893" width="11.5546875" style="150"/>
    <col min="5894" max="5894" width="11.33203125" style="150" customWidth="1"/>
    <col min="5895" max="5895" width="11.5546875" style="150"/>
    <col min="5896" max="5896" width="10.33203125" style="150" customWidth="1"/>
    <col min="5897" max="5897" width="11.109375" style="150" customWidth="1"/>
    <col min="5898" max="5898" width="13.5546875" style="150" bestFit="1" customWidth="1"/>
    <col min="5899" max="6144" width="11.5546875" style="150"/>
    <col min="6145" max="6145" width="14.88671875" style="150" customWidth="1"/>
    <col min="6146" max="6146" width="11" style="150" customWidth="1"/>
    <col min="6147" max="6147" width="12" style="150" customWidth="1"/>
    <col min="6148" max="6148" width="14.88671875" style="150" customWidth="1"/>
    <col min="6149" max="6149" width="11.5546875" style="150"/>
    <col min="6150" max="6150" width="11.33203125" style="150" customWidth="1"/>
    <col min="6151" max="6151" width="11.5546875" style="150"/>
    <col min="6152" max="6152" width="10.33203125" style="150" customWidth="1"/>
    <col min="6153" max="6153" width="11.109375" style="150" customWidth="1"/>
    <col min="6154" max="6154" width="13.5546875" style="150" bestFit="1" customWidth="1"/>
    <col min="6155" max="6400" width="11.5546875" style="150"/>
    <col min="6401" max="6401" width="14.88671875" style="150" customWidth="1"/>
    <col min="6402" max="6402" width="11" style="150" customWidth="1"/>
    <col min="6403" max="6403" width="12" style="150" customWidth="1"/>
    <col min="6404" max="6404" width="14.88671875" style="150" customWidth="1"/>
    <col min="6405" max="6405" width="11.5546875" style="150"/>
    <col min="6406" max="6406" width="11.33203125" style="150" customWidth="1"/>
    <col min="6407" max="6407" width="11.5546875" style="150"/>
    <col min="6408" max="6408" width="10.33203125" style="150" customWidth="1"/>
    <col min="6409" max="6409" width="11.109375" style="150" customWidth="1"/>
    <col min="6410" max="6410" width="13.5546875" style="150" bestFit="1" customWidth="1"/>
    <col min="6411" max="6656" width="11.5546875" style="150"/>
    <col min="6657" max="6657" width="14.88671875" style="150" customWidth="1"/>
    <col min="6658" max="6658" width="11" style="150" customWidth="1"/>
    <col min="6659" max="6659" width="12" style="150" customWidth="1"/>
    <col min="6660" max="6660" width="14.88671875" style="150" customWidth="1"/>
    <col min="6661" max="6661" width="11.5546875" style="150"/>
    <col min="6662" max="6662" width="11.33203125" style="150" customWidth="1"/>
    <col min="6663" max="6663" width="11.5546875" style="150"/>
    <col min="6664" max="6664" width="10.33203125" style="150" customWidth="1"/>
    <col min="6665" max="6665" width="11.109375" style="150" customWidth="1"/>
    <col min="6666" max="6666" width="13.5546875" style="150" bestFit="1" customWidth="1"/>
    <col min="6667" max="6912" width="11.5546875" style="150"/>
    <col min="6913" max="6913" width="14.88671875" style="150" customWidth="1"/>
    <col min="6914" max="6914" width="11" style="150" customWidth="1"/>
    <col min="6915" max="6915" width="12" style="150" customWidth="1"/>
    <col min="6916" max="6916" width="14.88671875" style="150" customWidth="1"/>
    <col min="6917" max="6917" width="11.5546875" style="150"/>
    <col min="6918" max="6918" width="11.33203125" style="150" customWidth="1"/>
    <col min="6919" max="6919" width="11.5546875" style="150"/>
    <col min="6920" max="6920" width="10.33203125" style="150" customWidth="1"/>
    <col min="6921" max="6921" width="11.109375" style="150" customWidth="1"/>
    <col min="6922" max="6922" width="13.5546875" style="150" bestFit="1" customWidth="1"/>
    <col min="6923" max="7168" width="11.5546875" style="150"/>
    <col min="7169" max="7169" width="14.88671875" style="150" customWidth="1"/>
    <col min="7170" max="7170" width="11" style="150" customWidth="1"/>
    <col min="7171" max="7171" width="12" style="150" customWidth="1"/>
    <col min="7172" max="7172" width="14.88671875" style="150" customWidth="1"/>
    <col min="7173" max="7173" width="11.5546875" style="150"/>
    <col min="7174" max="7174" width="11.33203125" style="150" customWidth="1"/>
    <col min="7175" max="7175" width="11.5546875" style="150"/>
    <col min="7176" max="7176" width="10.33203125" style="150" customWidth="1"/>
    <col min="7177" max="7177" width="11.109375" style="150" customWidth="1"/>
    <col min="7178" max="7178" width="13.5546875" style="150" bestFit="1" customWidth="1"/>
    <col min="7179" max="7424" width="11.5546875" style="150"/>
    <col min="7425" max="7425" width="14.88671875" style="150" customWidth="1"/>
    <col min="7426" max="7426" width="11" style="150" customWidth="1"/>
    <col min="7427" max="7427" width="12" style="150" customWidth="1"/>
    <col min="7428" max="7428" width="14.88671875" style="150" customWidth="1"/>
    <col min="7429" max="7429" width="11.5546875" style="150"/>
    <col min="7430" max="7430" width="11.33203125" style="150" customWidth="1"/>
    <col min="7431" max="7431" width="11.5546875" style="150"/>
    <col min="7432" max="7432" width="10.33203125" style="150" customWidth="1"/>
    <col min="7433" max="7433" width="11.109375" style="150" customWidth="1"/>
    <col min="7434" max="7434" width="13.5546875" style="150" bestFit="1" customWidth="1"/>
    <col min="7435" max="7680" width="11.5546875" style="150"/>
    <col min="7681" max="7681" width="14.88671875" style="150" customWidth="1"/>
    <col min="7682" max="7682" width="11" style="150" customWidth="1"/>
    <col min="7683" max="7683" width="12" style="150" customWidth="1"/>
    <col min="7684" max="7684" width="14.88671875" style="150" customWidth="1"/>
    <col min="7685" max="7685" width="11.5546875" style="150"/>
    <col min="7686" max="7686" width="11.33203125" style="150" customWidth="1"/>
    <col min="7687" max="7687" width="11.5546875" style="150"/>
    <col min="7688" max="7688" width="10.33203125" style="150" customWidth="1"/>
    <col min="7689" max="7689" width="11.109375" style="150" customWidth="1"/>
    <col min="7690" max="7690" width="13.5546875" style="150" bestFit="1" customWidth="1"/>
    <col min="7691" max="7936" width="11.5546875" style="150"/>
    <col min="7937" max="7937" width="14.88671875" style="150" customWidth="1"/>
    <col min="7938" max="7938" width="11" style="150" customWidth="1"/>
    <col min="7939" max="7939" width="12" style="150" customWidth="1"/>
    <col min="7940" max="7940" width="14.88671875" style="150" customWidth="1"/>
    <col min="7941" max="7941" width="11.5546875" style="150"/>
    <col min="7942" max="7942" width="11.33203125" style="150" customWidth="1"/>
    <col min="7943" max="7943" width="11.5546875" style="150"/>
    <col min="7944" max="7944" width="10.33203125" style="150" customWidth="1"/>
    <col min="7945" max="7945" width="11.109375" style="150" customWidth="1"/>
    <col min="7946" max="7946" width="13.5546875" style="150" bestFit="1" customWidth="1"/>
    <col min="7947" max="8192" width="11.5546875" style="150"/>
    <col min="8193" max="8193" width="14.88671875" style="150" customWidth="1"/>
    <col min="8194" max="8194" width="11" style="150" customWidth="1"/>
    <col min="8195" max="8195" width="12" style="150" customWidth="1"/>
    <col min="8196" max="8196" width="14.88671875" style="150" customWidth="1"/>
    <col min="8197" max="8197" width="11.5546875" style="150"/>
    <col min="8198" max="8198" width="11.33203125" style="150" customWidth="1"/>
    <col min="8199" max="8199" width="11.5546875" style="150"/>
    <col min="8200" max="8200" width="10.33203125" style="150" customWidth="1"/>
    <col min="8201" max="8201" width="11.109375" style="150" customWidth="1"/>
    <col min="8202" max="8202" width="13.5546875" style="150" bestFit="1" customWidth="1"/>
    <col min="8203" max="8448" width="11.5546875" style="150"/>
    <col min="8449" max="8449" width="14.88671875" style="150" customWidth="1"/>
    <col min="8450" max="8450" width="11" style="150" customWidth="1"/>
    <col min="8451" max="8451" width="12" style="150" customWidth="1"/>
    <col min="8452" max="8452" width="14.88671875" style="150" customWidth="1"/>
    <col min="8453" max="8453" width="11.5546875" style="150"/>
    <col min="8454" max="8454" width="11.33203125" style="150" customWidth="1"/>
    <col min="8455" max="8455" width="11.5546875" style="150"/>
    <col min="8456" max="8456" width="10.33203125" style="150" customWidth="1"/>
    <col min="8457" max="8457" width="11.109375" style="150" customWidth="1"/>
    <col min="8458" max="8458" width="13.5546875" style="150" bestFit="1" customWidth="1"/>
    <col min="8459" max="8704" width="11.5546875" style="150"/>
    <col min="8705" max="8705" width="14.88671875" style="150" customWidth="1"/>
    <col min="8706" max="8706" width="11" style="150" customWidth="1"/>
    <col min="8707" max="8707" width="12" style="150" customWidth="1"/>
    <col min="8708" max="8708" width="14.88671875" style="150" customWidth="1"/>
    <col min="8709" max="8709" width="11.5546875" style="150"/>
    <col min="8710" max="8710" width="11.33203125" style="150" customWidth="1"/>
    <col min="8711" max="8711" width="11.5546875" style="150"/>
    <col min="8712" max="8712" width="10.33203125" style="150" customWidth="1"/>
    <col min="8713" max="8713" width="11.109375" style="150" customWidth="1"/>
    <col min="8714" max="8714" width="13.5546875" style="150" bestFit="1" customWidth="1"/>
    <col min="8715" max="8960" width="11.5546875" style="150"/>
    <col min="8961" max="8961" width="14.88671875" style="150" customWidth="1"/>
    <col min="8962" max="8962" width="11" style="150" customWidth="1"/>
    <col min="8963" max="8963" width="12" style="150" customWidth="1"/>
    <col min="8964" max="8964" width="14.88671875" style="150" customWidth="1"/>
    <col min="8965" max="8965" width="11.5546875" style="150"/>
    <col min="8966" max="8966" width="11.33203125" style="150" customWidth="1"/>
    <col min="8967" max="8967" width="11.5546875" style="150"/>
    <col min="8968" max="8968" width="10.33203125" style="150" customWidth="1"/>
    <col min="8969" max="8969" width="11.109375" style="150" customWidth="1"/>
    <col min="8970" max="8970" width="13.5546875" style="150" bestFit="1" customWidth="1"/>
    <col min="8971" max="9216" width="11.5546875" style="150"/>
    <col min="9217" max="9217" width="14.88671875" style="150" customWidth="1"/>
    <col min="9218" max="9218" width="11" style="150" customWidth="1"/>
    <col min="9219" max="9219" width="12" style="150" customWidth="1"/>
    <col min="9220" max="9220" width="14.88671875" style="150" customWidth="1"/>
    <col min="9221" max="9221" width="11.5546875" style="150"/>
    <col min="9222" max="9222" width="11.33203125" style="150" customWidth="1"/>
    <col min="9223" max="9223" width="11.5546875" style="150"/>
    <col min="9224" max="9224" width="10.33203125" style="150" customWidth="1"/>
    <col min="9225" max="9225" width="11.109375" style="150" customWidth="1"/>
    <col min="9226" max="9226" width="13.5546875" style="150" bestFit="1" customWidth="1"/>
    <col min="9227" max="9472" width="11.5546875" style="150"/>
    <col min="9473" max="9473" width="14.88671875" style="150" customWidth="1"/>
    <col min="9474" max="9474" width="11" style="150" customWidth="1"/>
    <col min="9475" max="9475" width="12" style="150" customWidth="1"/>
    <col min="9476" max="9476" width="14.88671875" style="150" customWidth="1"/>
    <col min="9477" max="9477" width="11.5546875" style="150"/>
    <col min="9478" max="9478" width="11.33203125" style="150" customWidth="1"/>
    <col min="9479" max="9479" width="11.5546875" style="150"/>
    <col min="9480" max="9480" width="10.33203125" style="150" customWidth="1"/>
    <col min="9481" max="9481" width="11.109375" style="150" customWidth="1"/>
    <col min="9482" max="9482" width="13.5546875" style="150" bestFit="1" customWidth="1"/>
    <col min="9483" max="9728" width="11.5546875" style="150"/>
    <col min="9729" max="9729" width="14.88671875" style="150" customWidth="1"/>
    <col min="9730" max="9730" width="11" style="150" customWidth="1"/>
    <col min="9731" max="9731" width="12" style="150" customWidth="1"/>
    <col min="9732" max="9732" width="14.88671875" style="150" customWidth="1"/>
    <col min="9733" max="9733" width="11.5546875" style="150"/>
    <col min="9734" max="9734" width="11.33203125" style="150" customWidth="1"/>
    <col min="9735" max="9735" width="11.5546875" style="150"/>
    <col min="9736" max="9736" width="10.33203125" style="150" customWidth="1"/>
    <col min="9737" max="9737" width="11.109375" style="150" customWidth="1"/>
    <col min="9738" max="9738" width="13.5546875" style="150" bestFit="1" customWidth="1"/>
    <col min="9739" max="9984" width="11.5546875" style="150"/>
    <col min="9985" max="9985" width="14.88671875" style="150" customWidth="1"/>
    <col min="9986" max="9986" width="11" style="150" customWidth="1"/>
    <col min="9987" max="9987" width="12" style="150" customWidth="1"/>
    <col min="9988" max="9988" width="14.88671875" style="150" customWidth="1"/>
    <col min="9989" max="9989" width="11.5546875" style="150"/>
    <col min="9990" max="9990" width="11.33203125" style="150" customWidth="1"/>
    <col min="9991" max="9991" width="11.5546875" style="150"/>
    <col min="9992" max="9992" width="10.33203125" style="150" customWidth="1"/>
    <col min="9993" max="9993" width="11.109375" style="150" customWidth="1"/>
    <col min="9994" max="9994" width="13.5546875" style="150" bestFit="1" customWidth="1"/>
    <col min="9995" max="10240" width="11.5546875" style="150"/>
    <col min="10241" max="10241" width="14.88671875" style="150" customWidth="1"/>
    <col min="10242" max="10242" width="11" style="150" customWidth="1"/>
    <col min="10243" max="10243" width="12" style="150" customWidth="1"/>
    <col min="10244" max="10244" width="14.88671875" style="150" customWidth="1"/>
    <col min="10245" max="10245" width="11.5546875" style="150"/>
    <col min="10246" max="10246" width="11.33203125" style="150" customWidth="1"/>
    <col min="10247" max="10247" width="11.5546875" style="150"/>
    <col min="10248" max="10248" width="10.33203125" style="150" customWidth="1"/>
    <col min="10249" max="10249" width="11.109375" style="150" customWidth="1"/>
    <col min="10250" max="10250" width="13.5546875" style="150" bestFit="1" customWidth="1"/>
    <col min="10251" max="10496" width="11.5546875" style="150"/>
    <col min="10497" max="10497" width="14.88671875" style="150" customWidth="1"/>
    <col min="10498" max="10498" width="11" style="150" customWidth="1"/>
    <col min="10499" max="10499" width="12" style="150" customWidth="1"/>
    <col min="10500" max="10500" width="14.88671875" style="150" customWidth="1"/>
    <col min="10501" max="10501" width="11.5546875" style="150"/>
    <col min="10502" max="10502" width="11.33203125" style="150" customWidth="1"/>
    <col min="10503" max="10503" width="11.5546875" style="150"/>
    <col min="10504" max="10504" width="10.33203125" style="150" customWidth="1"/>
    <col min="10505" max="10505" width="11.109375" style="150" customWidth="1"/>
    <col min="10506" max="10506" width="13.5546875" style="150" bestFit="1" customWidth="1"/>
    <col min="10507" max="10752" width="11.5546875" style="150"/>
    <col min="10753" max="10753" width="14.88671875" style="150" customWidth="1"/>
    <col min="10754" max="10754" width="11" style="150" customWidth="1"/>
    <col min="10755" max="10755" width="12" style="150" customWidth="1"/>
    <col min="10756" max="10756" width="14.88671875" style="150" customWidth="1"/>
    <col min="10757" max="10757" width="11.5546875" style="150"/>
    <col min="10758" max="10758" width="11.33203125" style="150" customWidth="1"/>
    <col min="10759" max="10759" width="11.5546875" style="150"/>
    <col min="10760" max="10760" width="10.33203125" style="150" customWidth="1"/>
    <col min="10761" max="10761" width="11.109375" style="150" customWidth="1"/>
    <col min="10762" max="10762" width="13.5546875" style="150" bestFit="1" customWidth="1"/>
    <col min="10763" max="11008" width="11.5546875" style="150"/>
    <col min="11009" max="11009" width="14.88671875" style="150" customWidth="1"/>
    <col min="11010" max="11010" width="11" style="150" customWidth="1"/>
    <col min="11011" max="11011" width="12" style="150" customWidth="1"/>
    <col min="11012" max="11012" width="14.88671875" style="150" customWidth="1"/>
    <col min="11013" max="11013" width="11.5546875" style="150"/>
    <col min="11014" max="11014" width="11.33203125" style="150" customWidth="1"/>
    <col min="11015" max="11015" width="11.5546875" style="150"/>
    <col min="11016" max="11016" width="10.33203125" style="150" customWidth="1"/>
    <col min="11017" max="11017" width="11.109375" style="150" customWidth="1"/>
    <col min="11018" max="11018" width="13.5546875" style="150" bestFit="1" customWidth="1"/>
    <col min="11019" max="11264" width="11.5546875" style="150"/>
    <col min="11265" max="11265" width="14.88671875" style="150" customWidth="1"/>
    <col min="11266" max="11266" width="11" style="150" customWidth="1"/>
    <col min="11267" max="11267" width="12" style="150" customWidth="1"/>
    <col min="11268" max="11268" width="14.88671875" style="150" customWidth="1"/>
    <col min="11269" max="11269" width="11.5546875" style="150"/>
    <col min="11270" max="11270" width="11.33203125" style="150" customWidth="1"/>
    <col min="11271" max="11271" width="11.5546875" style="150"/>
    <col min="11272" max="11272" width="10.33203125" style="150" customWidth="1"/>
    <col min="11273" max="11273" width="11.109375" style="150" customWidth="1"/>
    <col min="11274" max="11274" width="13.5546875" style="150" bestFit="1" customWidth="1"/>
    <col min="11275" max="11520" width="11.5546875" style="150"/>
    <col min="11521" max="11521" width="14.88671875" style="150" customWidth="1"/>
    <col min="11522" max="11522" width="11" style="150" customWidth="1"/>
    <col min="11523" max="11523" width="12" style="150" customWidth="1"/>
    <col min="11524" max="11524" width="14.88671875" style="150" customWidth="1"/>
    <col min="11525" max="11525" width="11.5546875" style="150"/>
    <col min="11526" max="11526" width="11.33203125" style="150" customWidth="1"/>
    <col min="11527" max="11527" width="11.5546875" style="150"/>
    <col min="11528" max="11528" width="10.33203125" style="150" customWidth="1"/>
    <col min="11529" max="11529" width="11.109375" style="150" customWidth="1"/>
    <col min="11530" max="11530" width="13.5546875" style="150" bestFit="1" customWidth="1"/>
    <col min="11531" max="11776" width="11.5546875" style="150"/>
    <col min="11777" max="11777" width="14.88671875" style="150" customWidth="1"/>
    <col min="11778" max="11778" width="11" style="150" customWidth="1"/>
    <col min="11779" max="11779" width="12" style="150" customWidth="1"/>
    <col min="11780" max="11780" width="14.88671875" style="150" customWidth="1"/>
    <col min="11781" max="11781" width="11.5546875" style="150"/>
    <col min="11782" max="11782" width="11.33203125" style="150" customWidth="1"/>
    <col min="11783" max="11783" width="11.5546875" style="150"/>
    <col min="11784" max="11784" width="10.33203125" style="150" customWidth="1"/>
    <col min="11785" max="11785" width="11.109375" style="150" customWidth="1"/>
    <col min="11786" max="11786" width="13.5546875" style="150" bestFit="1" customWidth="1"/>
    <col min="11787" max="12032" width="11.5546875" style="150"/>
    <col min="12033" max="12033" width="14.88671875" style="150" customWidth="1"/>
    <col min="12034" max="12034" width="11" style="150" customWidth="1"/>
    <col min="12035" max="12035" width="12" style="150" customWidth="1"/>
    <col min="12036" max="12036" width="14.88671875" style="150" customWidth="1"/>
    <col min="12037" max="12037" width="11.5546875" style="150"/>
    <col min="12038" max="12038" width="11.33203125" style="150" customWidth="1"/>
    <col min="12039" max="12039" width="11.5546875" style="150"/>
    <col min="12040" max="12040" width="10.33203125" style="150" customWidth="1"/>
    <col min="12041" max="12041" width="11.109375" style="150" customWidth="1"/>
    <col min="12042" max="12042" width="13.5546875" style="150" bestFit="1" customWidth="1"/>
    <col min="12043" max="12288" width="11.5546875" style="150"/>
    <col min="12289" max="12289" width="14.88671875" style="150" customWidth="1"/>
    <col min="12290" max="12290" width="11" style="150" customWidth="1"/>
    <col min="12291" max="12291" width="12" style="150" customWidth="1"/>
    <col min="12292" max="12292" width="14.88671875" style="150" customWidth="1"/>
    <col min="12293" max="12293" width="11.5546875" style="150"/>
    <col min="12294" max="12294" width="11.33203125" style="150" customWidth="1"/>
    <col min="12295" max="12295" width="11.5546875" style="150"/>
    <col min="12296" max="12296" width="10.33203125" style="150" customWidth="1"/>
    <col min="12297" max="12297" width="11.109375" style="150" customWidth="1"/>
    <col min="12298" max="12298" width="13.5546875" style="150" bestFit="1" customWidth="1"/>
    <col min="12299" max="12544" width="11.5546875" style="150"/>
    <col min="12545" max="12545" width="14.88671875" style="150" customWidth="1"/>
    <col min="12546" max="12546" width="11" style="150" customWidth="1"/>
    <col min="12547" max="12547" width="12" style="150" customWidth="1"/>
    <col min="12548" max="12548" width="14.88671875" style="150" customWidth="1"/>
    <col min="12549" max="12549" width="11.5546875" style="150"/>
    <col min="12550" max="12550" width="11.33203125" style="150" customWidth="1"/>
    <col min="12551" max="12551" width="11.5546875" style="150"/>
    <col min="12552" max="12552" width="10.33203125" style="150" customWidth="1"/>
    <col min="12553" max="12553" width="11.109375" style="150" customWidth="1"/>
    <col min="12554" max="12554" width="13.5546875" style="150" bestFit="1" customWidth="1"/>
    <col min="12555" max="12800" width="11.5546875" style="150"/>
    <col min="12801" max="12801" width="14.88671875" style="150" customWidth="1"/>
    <col min="12802" max="12802" width="11" style="150" customWidth="1"/>
    <col min="12803" max="12803" width="12" style="150" customWidth="1"/>
    <col min="12804" max="12804" width="14.88671875" style="150" customWidth="1"/>
    <col min="12805" max="12805" width="11.5546875" style="150"/>
    <col min="12806" max="12806" width="11.33203125" style="150" customWidth="1"/>
    <col min="12807" max="12807" width="11.5546875" style="150"/>
    <col min="12808" max="12808" width="10.33203125" style="150" customWidth="1"/>
    <col min="12809" max="12809" width="11.109375" style="150" customWidth="1"/>
    <col min="12810" max="12810" width="13.5546875" style="150" bestFit="1" customWidth="1"/>
    <col min="12811" max="13056" width="11.5546875" style="150"/>
    <col min="13057" max="13057" width="14.88671875" style="150" customWidth="1"/>
    <col min="13058" max="13058" width="11" style="150" customWidth="1"/>
    <col min="13059" max="13059" width="12" style="150" customWidth="1"/>
    <col min="13060" max="13060" width="14.88671875" style="150" customWidth="1"/>
    <col min="13061" max="13061" width="11.5546875" style="150"/>
    <col min="13062" max="13062" width="11.33203125" style="150" customWidth="1"/>
    <col min="13063" max="13063" width="11.5546875" style="150"/>
    <col min="13064" max="13064" width="10.33203125" style="150" customWidth="1"/>
    <col min="13065" max="13065" width="11.109375" style="150" customWidth="1"/>
    <col min="13066" max="13066" width="13.5546875" style="150" bestFit="1" customWidth="1"/>
    <col min="13067" max="13312" width="11.5546875" style="150"/>
    <col min="13313" max="13313" width="14.88671875" style="150" customWidth="1"/>
    <col min="13314" max="13314" width="11" style="150" customWidth="1"/>
    <col min="13315" max="13315" width="12" style="150" customWidth="1"/>
    <col min="13316" max="13316" width="14.88671875" style="150" customWidth="1"/>
    <col min="13317" max="13317" width="11.5546875" style="150"/>
    <col min="13318" max="13318" width="11.33203125" style="150" customWidth="1"/>
    <col min="13319" max="13319" width="11.5546875" style="150"/>
    <col min="13320" max="13320" width="10.33203125" style="150" customWidth="1"/>
    <col min="13321" max="13321" width="11.109375" style="150" customWidth="1"/>
    <col min="13322" max="13322" width="13.5546875" style="150" bestFit="1" customWidth="1"/>
    <col min="13323" max="13568" width="11.5546875" style="150"/>
    <col min="13569" max="13569" width="14.88671875" style="150" customWidth="1"/>
    <col min="13570" max="13570" width="11" style="150" customWidth="1"/>
    <col min="13571" max="13571" width="12" style="150" customWidth="1"/>
    <col min="13572" max="13572" width="14.88671875" style="150" customWidth="1"/>
    <col min="13573" max="13573" width="11.5546875" style="150"/>
    <col min="13574" max="13574" width="11.33203125" style="150" customWidth="1"/>
    <col min="13575" max="13575" width="11.5546875" style="150"/>
    <col min="13576" max="13576" width="10.33203125" style="150" customWidth="1"/>
    <col min="13577" max="13577" width="11.109375" style="150" customWidth="1"/>
    <col min="13578" max="13578" width="13.5546875" style="150" bestFit="1" customWidth="1"/>
    <col min="13579" max="13824" width="11.5546875" style="150"/>
    <col min="13825" max="13825" width="14.88671875" style="150" customWidth="1"/>
    <col min="13826" max="13826" width="11" style="150" customWidth="1"/>
    <col min="13827" max="13827" width="12" style="150" customWidth="1"/>
    <col min="13828" max="13828" width="14.88671875" style="150" customWidth="1"/>
    <col min="13829" max="13829" width="11.5546875" style="150"/>
    <col min="13830" max="13830" width="11.33203125" style="150" customWidth="1"/>
    <col min="13831" max="13831" width="11.5546875" style="150"/>
    <col min="13832" max="13832" width="10.33203125" style="150" customWidth="1"/>
    <col min="13833" max="13833" width="11.109375" style="150" customWidth="1"/>
    <col min="13834" max="13834" width="13.5546875" style="150" bestFit="1" customWidth="1"/>
    <col min="13835" max="14080" width="11.5546875" style="150"/>
    <col min="14081" max="14081" width="14.88671875" style="150" customWidth="1"/>
    <col min="14082" max="14082" width="11" style="150" customWidth="1"/>
    <col min="14083" max="14083" width="12" style="150" customWidth="1"/>
    <col min="14084" max="14084" width="14.88671875" style="150" customWidth="1"/>
    <col min="14085" max="14085" width="11.5546875" style="150"/>
    <col min="14086" max="14086" width="11.33203125" style="150" customWidth="1"/>
    <col min="14087" max="14087" width="11.5546875" style="150"/>
    <col min="14088" max="14088" width="10.33203125" style="150" customWidth="1"/>
    <col min="14089" max="14089" width="11.109375" style="150" customWidth="1"/>
    <col min="14090" max="14090" width="13.5546875" style="150" bestFit="1" customWidth="1"/>
    <col min="14091" max="14336" width="11.5546875" style="150"/>
    <col min="14337" max="14337" width="14.88671875" style="150" customWidth="1"/>
    <col min="14338" max="14338" width="11" style="150" customWidth="1"/>
    <col min="14339" max="14339" width="12" style="150" customWidth="1"/>
    <col min="14340" max="14340" width="14.88671875" style="150" customWidth="1"/>
    <col min="14341" max="14341" width="11.5546875" style="150"/>
    <col min="14342" max="14342" width="11.33203125" style="150" customWidth="1"/>
    <col min="14343" max="14343" width="11.5546875" style="150"/>
    <col min="14344" max="14344" width="10.33203125" style="150" customWidth="1"/>
    <col min="14345" max="14345" width="11.109375" style="150" customWidth="1"/>
    <col min="14346" max="14346" width="13.5546875" style="150" bestFit="1" customWidth="1"/>
    <col min="14347" max="14592" width="11.5546875" style="150"/>
    <col min="14593" max="14593" width="14.88671875" style="150" customWidth="1"/>
    <col min="14594" max="14594" width="11" style="150" customWidth="1"/>
    <col min="14595" max="14595" width="12" style="150" customWidth="1"/>
    <col min="14596" max="14596" width="14.88671875" style="150" customWidth="1"/>
    <col min="14597" max="14597" width="11.5546875" style="150"/>
    <col min="14598" max="14598" width="11.33203125" style="150" customWidth="1"/>
    <col min="14599" max="14599" width="11.5546875" style="150"/>
    <col min="14600" max="14600" width="10.33203125" style="150" customWidth="1"/>
    <col min="14601" max="14601" width="11.109375" style="150" customWidth="1"/>
    <col min="14602" max="14602" width="13.5546875" style="150" bestFit="1" customWidth="1"/>
    <col min="14603" max="14848" width="11.5546875" style="150"/>
    <col min="14849" max="14849" width="14.88671875" style="150" customWidth="1"/>
    <col min="14850" max="14850" width="11" style="150" customWidth="1"/>
    <col min="14851" max="14851" width="12" style="150" customWidth="1"/>
    <col min="14852" max="14852" width="14.88671875" style="150" customWidth="1"/>
    <col min="14853" max="14853" width="11.5546875" style="150"/>
    <col min="14854" max="14854" width="11.33203125" style="150" customWidth="1"/>
    <col min="14855" max="14855" width="11.5546875" style="150"/>
    <col min="14856" max="14856" width="10.33203125" style="150" customWidth="1"/>
    <col min="14857" max="14857" width="11.109375" style="150" customWidth="1"/>
    <col min="14858" max="14858" width="13.5546875" style="150" bestFit="1" customWidth="1"/>
    <col min="14859" max="15104" width="11.5546875" style="150"/>
    <col min="15105" max="15105" width="14.88671875" style="150" customWidth="1"/>
    <col min="15106" max="15106" width="11" style="150" customWidth="1"/>
    <col min="15107" max="15107" width="12" style="150" customWidth="1"/>
    <col min="15108" max="15108" width="14.88671875" style="150" customWidth="1"/>
    <col min="15109" max="15109" width="11.5546875" style="150"/>
    <col min="15110" max="15110" width="11.33203125" style="150" customWidth="1"/>
    <col min="15111" max="15111" width="11.5546875" style="150"/>
    <col min="15112" max="15112" width="10.33203125" style="150" customWidth="1"/>
    <col min="15113" max="15113" width="11.109375" style="150" customWidth="1"/>
    <col min="15114" max="15114" width="13.5546875" style="150" bestFit="1" customWidth="1"/>
    <col min="15115" max="15360" width="11.5546875" style="150"/>
    <col min="15361" max="15361" width="14.88671875" style="150" customWidth="1"/>
    <col min="15362" max="15362" width="11" style="150" customWidth="1"/>
    <col min="15363" max="15363" width="12" style="150" customWidth="1"/>
    <col min="15364" max="15364" width="14.88671875" style="150" customWidth="1"/>
    <col min="15365" max="15365" width="11.5546875" style="150"/>
    <col min="15366" max="15366" width="11.33203125" style="150" customWidth="1"/>
    <col min="15367" max="15367" width="11.5546875" style="150"/>
    <col min="15368" max="15368" width="10.33203125" style="150" customWidth="1"/>
    <col min="15369" max="15369" width="11.109375" style="150" customWidth="1"/>
    <col min="15370" max="15370" width="13.5546875" style="150" bestFit="1" customWidth="1"/>
    <col min="15371" max="15616" width="11.5546875" style="150"/>
    <col min="15617" max="15617" width="14.88671875" style="150" customWidth="1"/>
    <col min="15618" max="15618" width="11" style="150" customWidth="1"/>
    <col min="15619" max="15619" width="12" style="150" customWidth="1"/>
    <col min="15620" max="15620" width="14.88671875" style="150" customWidth="1"/>
    <col min="15621" max="15621" width="11.5546875" style="150"/>
    <col min="15622" max="15622" width="11.33203125" style="150" customWidth="1"/>
    <col min="15623" max="15623" width="11.5546875" style="150"/>
    <col min="15624" max="15624" width="10.33203125" style="150" customWidth="1"/>
    <col min="15625" max="15625" width="11.109375" style="150" customWidth="1"/>
    <col min="15626" max="15626" width="13.5546875" style="150" bestFit="1" customWidth="1"/>
    <col min="15627" max="15872" width="11.5546875" style="150"/>
    <col min="15873" max="15873" width="14.88671875" style="150" customWidth="1"/>
    <col min="15874" max="15874" width="11" style="150" customWidth="1"/>
    <col min="15875" max="15875" width="12" style="150" customWidth="1"/>
    <col min="15876" max="15876" width="14.88671875" style="150" customWidth="1"/>
    <col min="15877" max="15877" width="11.5546875" style="150"/>
    <col min="15878" max="15878" width="11.33203125" style="150" customWidth="1"/>
    <col min="15879" max="15879" width="11.5546875" style="150"/>
    <col min="15880" max="15880" width="10.33203125" style="150" customWidth="1"/>
    <col min="15881" max="15881" width="11.109375" style="150" customWidth="1"/>
    <col min="15882" max="15882" width="13.5546875" style="150" bestFit="1" customWidth="1"/>
    <col min="15883" max="16128" width="11.5546875" style="150"/>
    <col min="16129" max="16129" width="14.88671875" style="150" customWidth="1"/>
    <col min="16130" max="16130" width="11" style="150" customWidth="1"/>
    <col min="16131" max="16131" width="12" style="150" customWidth="1"/>
    <col min="16132" max="16132" width="14.88671875" style="150" customWidth="1"/>
    <col min="16133" max="16133" width="11.5546875" style="150"/>
    <col min="16134" max="16134" width="11.33203125" style="150" customWidth="1"/>
    <col min="16135" max="16135" width="11.5546875" style="150"/>
    <col min="16136" max="16136" width="10.33203125" style="150" customWidth="1"/>
    <col min="16137" max="16137" width="11.109375" style="150" customWidth="1"/>
    <col min="16138" max="16138" width="13.5546875" style="150" bestFit="1" customWidth="1"/>
    <col min="16139" max="16384" width="11.5546875" style="150"/>
  </cols>
  <sheetData>
    <row r="1" spans="1:36" ht="22.8" x14ac:dyDescent="0.4">
      <c r="A1" s="163" t="s">
        <v>145</v>
      </c>
    </row>
    <row r="2" spans="1:36" ht="13.8" x14ac:dyDescent="0.25">
      <c r="G2" s="166" t="s">
        <v>158</v>
      </c>
      <c r="H2" s="94"/>
      <c r="I2" s="94"/>
      <c r="J2" s="95"/>
    </row>
    <row r="3" spans="1:36" x14ac:dyDescent="0.25">
      <c r="G3" s="168">
        <v>23.5</v>
      </c>
      <c r="H3" s="169" t="s">
        <v>159</v>
      </c>
      <c r="I3" s="169"/>
      <c r="J3" s="170"/>
      <c r="AJ3" s="151"/>
    </row>
    <row r="4" spans="1:36" x14ac:dyDescent="0.25">
      <c r="B4" s="162" t="s">
        <v>165</v>
      </c>
      <c r="G4" s="171">
        <v>16.600000000000001</v>
      </c>
      <c r="H4" s="169" t="s">
        <v>160</v>
      </c>
      <c r="I4" s="169"/>
      <c r="J4" s="170"/>
    </row>
    <row r="5" spans="1:36" x14ac:dyDescent="0.25">
      <c r="G5" s="172">
        <v>7.36E-4</v>
      </c>
      <c r="H5" s="169" t="s">
        <v>157</v>
      </c>
      <c r="I5" s="169"/>
      <c r="J5" s="170"/>
    </row>
    <row r="6" spans="1:36" x14ac:dyDescent="0.25">
      <c r="C6" s="152" t="s">
        <v>146</v>
      </c>
      <c r="D6" s="152" t="s">
        <v>147</v>
      </c>
      <c r="G6" s="173">
        <f>611.14*EXP(17.269*(((273.16+G3)-273.16)/((273.16+G3)-35.86)))</f>
        <v>2896.8815193735572</v>
      </c>
      <c r="H6" s="169" t="s">
        <v>161</v>
      </c>
      <c r="I6" s="169"/>
      <c r="J6" s="170"/>
    </row>
    <row r="7" spans="1:36" x14ac:dyDescent="0.25">
      <c r="C7" s="153" t="s">
        <v>148</v>
      </c>
      <c r="D7" s="153" t="s">
        <v>149</v>
      </c>
      <c r="G7" s="173">
        <f>G6*G5*(101325*(G3-G4))/1000</f>
        <v>1490.6450789167495</v>
      </c>
      <c r="H7" s="174" t="s">
        <v>162</v>
      </c>
      <c r="I7" s="169"/>
      <c r="J7" s="170"/>
    </row>
    <row r="8" spans="1:36" x14ac:dyDescent="0.25">
      <c r="B8" s="164" t="s">
        <v>154</v>
      </c>
      <c r="C8" s="154">
        <v>23.5</v>
      </c>
      <c r="D8" s="154">
        <v>9.3000000000000007</v>
      </c>
      <c r="G8" s="175">
        <f>G7/G6%</f>
        <v>51.456887999999992</v>
      </c>
      <c r="H8" s="169" t="s">
        <v>163</v>
      </c>
      <c r="I8" s="169"/>
      <c r="J8" s="170"/>
    </row>
    <row r="9" spans="1:36" x14ac:dyDescent="0.25">
      <c r="B9" s="164" t="s">
        <v>155</v>
      </c>
      <c r="C9" s="154">
        <v>16.600000000000001</v>
      </c>
      <c r="D9" s="154">
        <v>12</v>
      </c>
      <c r="G9" s="176">
        <f>(18/29)*(G7/(Melange!$L$2-G7))*1000</f>
        <v>9.2676311751467129</v>
      </c>
      <c r="H9" s="177" t="s">
        <v>164</v>
      </c>
      <c r="I9" s="177"/>
      <c r="J9" s="178"/>
    </row>
    <row r="69" spans="21:61" x14ac:dyDescent="0.25">
      <c r="AZ69" s="150" t="s">
        <v>150</v>
      </c>
      <c r="BA69" s="150" t="s">
        <v>151</v>
      </c>
    </row>
    <row r="70" spans="21:61" x14ac:dyDescent="0.25">
      <c r="AY70" s="150" t="s">
        <v>152</v>
      </c>
      <c r="AZ70" s="155">
        <f>C8</f>
        <v>23.5</v>
      </c>
      <c r="BA70" s="156">
        <f>D8</f>
        <v>9.3000000000000007</v>
      </c>
    </row>
    <row r="71" spans="21:61" x14ac:dyDescent="0.25">
      <c r="AY71" s="150" t="s">
        <v>153</v>
      </c>
      <c r="AZ71" s="155">
        <f>C9</f>
        <v>16.600000000000001</v>
      </c>
      <c r="BA71" s="156">
        <f>D9</f>
        <v>12</v>
      </c>
    </row>
    <row r="73" spans="21:61" x14ac:dyDescent="0.25">
      <c r="V73" s="157">
        <v>10</v>
      </c>
      <c r="W73" s="157">
        <f t="shared" ref="W73:AE73" si="0">V73+10</f>
        <v>20</v>
      </c>
      <c r="X73" s="157">
        <f t="shared" si="0"/>
        <v>30</v>
      </c>
      <c r="Y73" s="157">
        <f t="shared" si="0"/>
        <v>40</v>
      </c>
      <c r="Z73" s="157">
        <f t="shared" si="0"/>
        <v>50</v>
      </c>
      <c r="AA73" s="157">
        <f t="shared" si="0"/>
        <v>60</v>
      </c>
      <c r="AB73" s="157">
        <f t="shared" si="0"/>
        <v>70</v>
      </c>
      <c r="AC73" s="157">
        <f t="shared" si="0"/>
        <v>80</v>
      </c>
      <c r="AD73" s="157">
        <f t="shared" si="0"/>
        <v>90</v>
      </c>
      <c r="AE73" s="157">
        <f t="shared" si="0"/>
        <v>100</v>
      </c>
      <c r="AF73" s="158">
        <v>0.75</v>
      </c>
      <c r="AG73" s="158">
        <f t="shared" ref="AG73:AW73" si="1">AF73+0.01</f>
        <v>0.76</v>
      </c>
      <c r="AH73" s="158">
        <f t="shared" si="1"/>
        <v>0.77</v>
      </c>
      <c r="AI73" s="158">
        <f t="shared" si="1"/>
        <v>0.78</v>
      </c>
      <c r="AJ73" s="158">
        <f t="shared" si="1"/>
        <v>0.79</v>
      </c>
      <c r="AK73" s="158">
        <f t="shared" si="1"/>
        <v>0.8</v>
      </c>
      <c r="AL73" s="158">
        <f t="shared" si="1"/>
        <v>0.81</v>
      </c>
      <c r="AM73" s="158">
        <f t="shared" si="1"/>
        <v>0.82000000000000006</v>
      </c>
      <c r="AN73" s="158">
        <f t="shared" si="1"/>
        <v>0.83000000000000007</v>
      </c>
      <c r="AO73" s="158">
        <f t="shared" si="1"/>
        <v>0.84000000000000008</v>
      </c>
      <c r="AP73" s="158">
        <f t="shared" si="1"/>
        <v>0.85000000000000009</v>
      </c>
      <c r="AQ73" s="158">
        <f t="shared" si="1"/>
        <v>0.8600000000000001</v>
      </c>
      <c r="AR73" s="158">
        <f t="shared" si="1"/>
        <v>0.87000000000000011</v>
      </c>
      <c r="AS73" s="158">
        <f t="shared" si="1"/>
        <v>0.88000000000000012</v>
      </c>
      <c r="AT73" s="158">
        <f t="shared" si="1"/>
        <v>0.89000000000000012</v>
      </c>
      <c r="AU73" s="158">
        <f t="shared" si="1"/>
        <v>0.90000000000000013</v>
      </c>
      <c r="AV73" s="158">
        <f t="shared" si="1"/>
        <v>0.91000000000000014</v>
      </c>
      <c r="AW73" s="158">
        <f t="shared" si="1"/>
        <v>0.92000000000000015</v>
      </c>
      <c r="AX73" s="159">
        <v>0</v>
      </c>
      <c r="AY73" s="159">
        <v>10</v>
      </c>
      <c r="AZ73" s="159">
        <v>20</v>
      </c>
      <c r="BA73" s="159">
        <v>30</v>
      </c>
      <c r="BB73" s="159">
        <v>40</v>
      </c>
      <c r="BC73" s="159">
        <v>50</v>
      </c>
      <c r="BD73" s="159">
        <v>60</v>
      </c>
      <c r="BE73" s="159">
        <v>70</v>
      </c>
      <c r="BF73" s="159">
        <v>80</v>
      </c>
      <c r="BG73" s="159">
        <v>90</v>
      </c>
      <c r="BH73" s="159">
        <v>100</v>
      </c>
      <c r="BI73" s="159">
        <v>110</v>
      </c>
    </row>
    <row r="74" spans="21:61" x14ac:dyDescent="0.25">
      <c r="U74" s="160">
        <v>-10</v>
      </c>
      <c r="V74" s="161">
        <f>622*f*EXP(LN(140974)-3928.5/(231.667+t))/(100-f*EXP(LN(140974)-3928.5/(231.667+t)))</f>
        <v>0.17630134102554579</v>
      </c>
      <c r="W74" s="161">
        <f t="shared" ref="V74:AE83" si="2">622*f*EXP(LN(140974)-3928.5/(231.667+t))/(100-f*EXP(LN(140974)-3928.5/(231.667+t)))</f>
        <v>0.35270265303294518</v>
      </c>
      <c r="X74" s="161">
        <f t="shared" si="2"/>
        <v>0.52920402107854159</v>
      </c>
      <c r="Y74" s="161">
        <f t="shared" si="2"/>
        <v>0.70580553031519511</v>
      </c>
      <c r="Z74" s="161">
        <f t="shared" si="2"/>
        <v>0.88250726599241847</v>
      </c>
      <c r="AA74" s="161">
        <f t="shared" si="2"/>
        <v>1.0593093134565159</v>
      </c>
      <c r="AB74" s="161">
        <f t="shared" si="2"/>
        <v>1.2362117581507193</v>
      </c>
      <c r="AC74" s="161">
        <f t="shared" si="2"/>
        <v>1.4132146856153256</v>
      </c>
      <c r="AD74" s="161">
        <f t="shared" si="2"/>
        <v>1.5903181814878362</v>
      </c>
      <c r="AE74" s="161">
        <f t="shared" si="2"/>
        <v>1.7675223315030932</v>
      </c>
      <c r="AF74" s="161">
        <f t="shared" ref="AF74:AO83" si="3">101325*v/(0.46124*(273.15+t))-622</f>
        <v>4.1055275938914519</v>
      </c>
      <c r="AG74" s="161">
        <f t="shared" si="3"/>
        <v>12.453601295143244</v>
      </c>
      <c r="AH74" s="161">
        <f t="shared" si="3"/>
        <v>20.80167499639515</v>
      </c>
      <c r="AI74" s="161">
        <f t="shared" si="3"/>
        <v>29.149748697647055</v>
      </c>
      <c r="AJ74" s="161">
        <f t="shared" si="3"/>
        <v>37.497822398898961</v>
      </c>
      <c r="AK74" s="161">
        <f t="shared" si="3"/>
        <v>45.845896100150867</v>
      </c>
      <c r="AL74" s="161">
        <f t="shared" si="3"/>
        <v>54.193969801402659</v>
      </c>
      <c r="AM74" s="161">
        <f t="shared" si="3"/>
        <v>62.542043502654565</v>
      </c>
      <c r="AN74" s="161">
        <f t="shared" si="3"/>
        <v>70.89011720390647</v>
      </c>
      <c r="AO74" s="161">
        <f t="shared" si="3"/>
        <v>79.23819090515849</v>
      </c>
      <c r="AP74" s="161">
        <f t="shared" ref="AP74:AW83" si="4">101325*v/(0.46124*(273.15+t))-622</f>
        <v>87.586264606410396</v>
      </c>
      <c r="AQ74" s="161">
        <f t="shared" si="4"/>
        <v>95.934338307662301</v>
      </c>
      <c r="AR74" s="161">
        <f t="shared" si="4"/>
        <v>104.28241200891409</v>
      </c>
      <c r="AS74" s="161">
        <f t="shared" si="4"/>
        <v>112.630485710166</v>
      </c>
      <c r="AT74" s="161">
        <f t="shared" si="4"/>
        <v>120.9785594114179</v>
      </c>
      <c r="AU74" s="161">
        <f t="shared" si="4"/>
        <v>129.32663311266981</v>
      </c>
      <c r="AV74" s="161">
        <f t="shared" si="4"/>
        <v>137.67470681392172</v>
      </c>
      <c r="AW74" s="161">
        <f t="shared" si="4"/>
        <v>146.02278051517362</v>
      </c>
      <c r="AX74" s="161">
        <f t="shared" ref="AX74:BI83" si="5">(h-t)/(0.002*t+2.5)</f>
        <v>4.032258064516129</v>
      </c>
      <c r="AY74" s="161">
        <f t="shared" si="5"/>
        <v>8.064516129032258</v>
      </c>
      <c r="AZ74" s="161">
        <f t="shared" si="5"/>
        <v>12.096774193548388</v>
      </c>
      <c r="BA74" s="161">
        <f t="shared" si="5"/>
        <v>16.129032258064516</v>
      </c>
      <c r="BB74" s="161">
        <f t="shared" si="5"/>
        <v>20.161290322580644</v>
      </c>
      <c r="BC74" s="161">
        <f t="shared" si="5"/>
        <v>24.193548387096776</v>
      </c>
      <c r="BD74" s="161">
        <f t="shared" si="5"/>
        <v>28.225806451612904</v>
      </c>
      <c r="BE74" s="161">
        <f t="shared" si="5"/>
        <v>32.258064516129032</v>
      </c>
      <c r="BF74" s="161">
        <f t="shared" si="5"/>
        <v>36.29032258064516</v>
      </c>
      <c r="BG74" s="161">
        <f t="shared" si="5"/>
        <v>40.322580645161288</v>
      </c>
      <c r="BH74" s="161">
        <f t="shared" si="5"/>
        <v>44.354838709677416</v>
      </c>
      <c r="BI74" s="161">
        <f t="shared" si="5"/>
        <v>48.387096774193552</v>
      </c>
    </row>
    <row r="75" spans="21:61" x14ac:dyDescent="0.25">
      <c r="U75" s="160">
        <f t="shared" ref="U75:U99" si="6">U74+2</f>
        <v>-8</v>
      </c>
      <c r="V75" s="161">
        <f t="shared" si="2"/>
        <v>0.20658580128762366</v>
      </c>
      <c r="W75" s="161">
        <f t="shared" si="2"/>
        <v>0.41330887547752998</v>
      </c>
      <c r="X75" s="161">
        <f t="shared" si="2"/>
        <v>0.62016935943860618</v>
      </c>
      <c r="Y75" s="161">
        <f t="shared" si="2"/>
        <v>0.82716739022175478</v>
      </c>
      <c r="Z75" s="161">
        <f t="shared" si="2"/>
        <v>1.0343031050601965</v>
      </c>
      <c r="AA75" s="161">
        <f t="shared" si="2"/>
        <v>1.2415766413697724</v>
      </c>
      <c r="AB75" s="161">
        <f t="shared" si="2"/>
        <v>1.4489881367492492</v>
      </c>
      <c r="AC75" s="161">
        <f t="shared" si="2"/>
        <v>1.6565377289806233</v>
      </c>
      <c r="AD75" s="161">
        <f t="shared" si="2"/>
        <v>1.8642255560294259</v>
      </c>
      <c r="AE75" s="161">
        <f t="shared" si="2"/>
        <v>2.0720517560450276</v>
      </c>
      <c r="AF75" s="161">
        <f t="shared" si="3"/>
        <v>-0.6171239436828273</v>
      </c>
      <c r="AG75" s="161">
        <f t="shared" si="3"/>
        <v>7.6679810704014244</v>
      </c>
      <c r="AH75" s="161">
        <f t="shared" si="3"/>
        <v>15.953086084485676</v>
      </c>
      <c r="AI75" s="161">
        <f t="shared" si="3"/>
        <v>24.238191098569928</v>
      </c>
      <c r="AJ75" s="161">
        <f t="shared" si="3"/>
        <v>32.52329611265418</v>
      </c>
      <c r="AK75" s="161">
        <f t="shared" si="3"/>
        <v>40.808401126738318</v>
      </c>
      <c r="AL75" s="161">
        <f t="shared" si="3"/>
        <v>49.093506140822569</v>
      </c>
      <c r="AM75" s="161">
        <f t="shared" si="3"/>
        <v>57.378611154906821</v>
      </c>
      <c r="AN75" s="161">
        <f t="shared" si="3"/>
        <v>65.663716168991073</v>
      </c>
      <c r="AO75" s="161">
        <f t="shared" si="3"/>
        <v>73.948821183075438</v>
      </c>
      <c r="AP75" s="161">
        <f t="shared" si="4"/>
        <v>82.23392619715969</v>
      </c>
      <c r="AQ75" s="161">
        <f t="shared" si="4"/>
        <v>90.519031211243828</v>
      </c>
      <c r="AR75" s="161">
        <f t="shared" si="4"/>
        <v>98.804136225328079</v>
      </c>
      <c r="AS75" s="161">
        <f t="shared" si="4"/>
        <v>107.08924123941233</v>
      </c>
      <c r="AT75" s="161">
        <f t="shared" si="4"/>
        <v>115.37434625349658</v>
      </c>
      <c r="AU75" s="161">
        <f t="shared" si="4"/>
        <v>123.65945126758083</v>
      </c>
      <c r="AV75" s="161">
        <f t="shared" si="4"/>
        <v>131.94455628166497</v>
      </c>
      <c r="AW75" s="161">
        <f t="shared" si="4"/>
        <v>140.22966129574922</v>
      </c>
      <c r="AX75" s="161">
        <f t="shared" si="5"/>
        <v>3.2206119162640903</v>
      </c>
      <c r="AY75" s="161">
        <f t="shared" si="5"/>
        <v>7.2463768115942031</v>
      </c>
      <c r="AZ75" s="161">
        <f t="shared" si="5"/>
        <v>11.272141706924316</v>
      </c>
      <c r="BA75" s="161">
        <f t="shared" si="5"/>
        <v>15.297906602254429</v>
      </c>
      <c r="BB75" s="161">
        <f t="shared" si="5"/>
        <v>19.323671497584542</v>
      </c>
      <c r="BC75" s="161">
        <f t="shared" si="5"/>
        <v>23.349436392914654</v>
      </c>
      <c r="BD75" s="161">
        <f t="shared" si="5"/>
        <v>27.375201288244767</v>
      </c>
      <c r="BE75" s="161">
        <f t="shared" si="5"/>
        <v>31.40096618357488</v>
      </c>
      <c r="BF75" s="161">
        <f t="shared" si="5"/>
        <v>35.426731078904993</v>
      </c>
      <c r="BG75" s="161">
        <f t="shared" si="5"/>
        <v>39.452495974235106</v>
      </c>
      <c r="BH75" s="161">
        <f t="shared" si="5"/>
        <v>43.478260869565219</v>
      </c>
      <c r="BI75" s="161">
        <f t="shared" si="5"/>
        <v>47.504025764895331</v>
      </c>
    </row>
    <row r="76" spans="21:61" x14ac:dyDescent="0.25">
      <c r="U76" s="160">
        <f t="shared" si="6"/>
        <v>-6</v>
      </c>
      <c r="V76" s="161">
        <f t="shared" si="2"/>
        <v>0.24139516271213302</v>
      </c>
      <c r="W76" s="161">
        <f t="shared" si="2"/>
        <v>0.48297776673710824</v>
      </c>
      <c r="X76" s="161">
        <f t="shared" si="2"/>
        <v>0.72474803047962388</v>
      </c>
      <c r="Y76" s="161">
        <f t="shared" si="2"/>
        <v>0.96670617268382064</v>
      </c>
      <c r="Z76" s="161">
        <f t="shared" si="2"/>
        <v>1.2088524124339413</v>
      </c>
      <c r="AA76" s="161">
        <f t="shared" si="2"/>
        <v>1.4511869691549917</v>
      </c>
      <c r="AB76" s="161">
        <f t="shared" si="2"/>
        <v>1.6937100626134045</v>
      </c>
      <c r="AC76" s="161">
        <f t="shared" si="2"/>
        <v>1.936421912917702</v>
      </c>
      <c r="AD76" s="161">
        <f t="shared" si="2"/>
        <v>2.1793227405191633</v>
      </c>
      <c r="AE76" s="161">
        <f t="shared" si="2"/>
        <v>2.4224127662124917</v>
      </c>
      <c r="AF76" s="161">
        <f t="shared" si="3"/>
        <v>-5.2690638729832244</v>
      </c>
      <c r="AG76" s="161">
        <f t="shared" si="3"/>
        <v>2.9540152753769462</v>
      </c>
      <c r="AH76" s="161">
        <f t="shared" si="3"/>
        <v>11.17709442373723</v>
      </c>
      <c r="AI76" s="161">
        <f t="shared" si="3"/>
        <v>19.400173572097401</v>
      </c>
      <c r="AJ76" s="161">
        <f t="shared" si="3"/>
        <v>27.623252720457572</v>
      </c>
      <c r="AK76" s="161">
        <f t="shared" si="3"/>
        <v>35.846331868817856</v>
      </c>
      <c r="AL76" s="161">
        <f t="shared" si="3"/>
        <v>44.069411017178027</v>
      </c>
      <c r="AM76" s="161">
        <f t="shared" si="3"/>
        <v>52.292490165538311</v>
      </c>
      <c r="AN76" s="161">
        <f t="shared" si="3"/>
        <v>60.515569313898482</v>
      </c>
      <c r="AO76" s="161">
        <f t="shared" si="3"/>
        <v>68.73864846225888</v>
      </c>
      <c r="AP76" s="161">
        <f t="shared" si="4"/>
        <v>76.96172761061905</v>
      </c>
      <c r="AQ76" s="161">
        <f t="shared" si="4"/>
        <v>85.184806758979335</v>
      </c>
      <c r="AR76" s="161">
        <f t="shared" si="4"/>
        <v>93.407885907339505</v>
      </c>
      <c r="AS76" s="161">
        <f t="shared" si="4"/>
        <v>101.63096505569979</v>
      </c>
      <c r="AT76" s="161">
        <f t="shared" si="4"/>
        <v>109.85404420405996</v>
      </c>
      <c r="AU76" s="161">
        <f t="shared" si="4"/>
        <v>118.07712335242024</v>
      </c>
      <c r="AV76" s="161">
        <f t="shared" si="4"/>
        <v>126.30020250078041</v>
      </c>
      <c r="AW76" s="161">
        <f t="shared" si="4"/>
        <v>134.5232816491407</v>
      </c>
      <c r="AX76" s="161">
        <f t="shared" si="5"/>
        <v>2.4115755627009645</v>
      </c>
      <c r="AY76" s="161">
        <f t="shared" si="5"/>
        <v>6.430868167202572</v>
      </c>
      <c r="AZ76" s="161">
        <f t="shared" si="5"/>
        <v>10.45016077170418</v>
      </c>
      <c r="BA76" s="161">
        <f t="shared" si="5"/>
        <v>14.469453376205788</v>
      </c>
      <c r="BB76" s="161">
        <f t="shared" si="5"/>
        <v>18.488745980707396</v>
      </c>
      <c r="BC76" s="161">
        <f t="shared" si="5"/>
        <v>22.508038585209004</v>
      </c>
      <c r="BD76" s="161">
        <f t="shared" si="5"/>
        <v>26.527331189710612</v>
      </c>
      <c r="BE76" s="161">
        <f t="shared" si="5"/>
        <v>30.54662379421222</v>
      </c>
      <c r="BF76" s="161">
        <f t="shared" si="5"/>
        <v>34.565916398713824</v>
      </c>
      <c r="BG76" s="161">
        <f t="shared" si="5"/>
        <v>38.585209003215432</v>
      </c>
      <c r="BH76" s="161">
        <f t="shared" si="5"/>
        <v>42.60450160771704</v>
      </c>
      <c r="BI76" s="161">
        <f t="shared" si="5"/>
        <v>46.623794212218648</v>
      </c>
    </row>
    <row r="77" spans="21:61" x14ac:dyDescent="0.25">
      <c r="U77" s="160">
        <f t="shared" si="6"/>
        <v>-4</v>
      </c>
      <c r="V77" s="161">
        <f>622*f*EXP(LN(140974)-3928.5/(231.667+t))/(100-f*EXP(LN(140974)-3928.5/(231.667+t)))</f>
        <v>0.28130175837865662</v>
      </c>
      <c r="W77" s="161">
        <f t="shared" si="2"/>
        <v>0.56285807136373156</v>
      </c>
      <c r="X77" s="161">
        <f t="shared" si="2"/>
        <v>0.84466928463763236</v>
      </c>
      <c r="Y77" s="161">
        <f t="shared" si="2"/>
        <v>1.1267357445089599</v>
      </c>
      <c r="Z77" s="161">
        <f t="shared" si="2"/>
        <v>1.4090577979139287</v>
      </c>
      <c r="AA77" s="161">
        <f t="shared" si="2"/>
        <v>1.6916357924177869</v>
      </c>
      <c r="AB77" s="161">
        <f t="shared" si="2"/>
        <v>1.9744700762162457</v>
      </c>
      <c r="AC77" s="161">
        <f t="shared" si="2"/>
        <v>2.2575609981369071</v>
      </c>
      <c r="AD77" s="161">
        <f t="shared" si="2"/>
        <v>2.5409089076406985</v>
      </c>
      <c r="AE77" s="161">
        <f t="shared" si="2"/>
        <v>2.8245141548233104</v>
      </c>
      <c r="AF77" s="161">
        <f t="shared" si="3"/>
        <v>-9.8518685256083245</v>
      </c>
      <c r="AG77" s="161">
        <f t="shared" si="3"/>
        <v>-1.6898934392830824</v>
      </c>
      <c r="AH77" s="161">
        <f t="shared" si="3"/>
        <v>6.4720816470420459</v>
      </c>
      <c r="AI77" s="161">
        <f t="shared" si="3"/>
        <v>14.634056733367288</v>
      </c>
      <c r="AJ77" s="161">
        <f t="shared" si="3"/>
        <v>22.79603181969253</v>
      </c>
      <c r="AK77" s="161">
        <f t="shared" si="3"/>
        <v>30.958006906017772</v>
      </c>
      <c r="AL77" s="161">
        <f t="shared" si="3"/>
        <v>39.119981992343014</v>
      </c>
      <c r="AM77" s="161">
        <f t="shared" si="3"/>
        <v>47.281957078668142</v>
      </c>
      <c r="AN77" s="161">
        <f t="shared" si="3"/>
        <v>55.443932164993385</v>
      </c>
      <c r="AO77" s="161">
        <f t="shared" si="3"/>
        <v>63.60590725131874</v>
      </c>
      <c r="AP77" s="161">
        <f t="shared" si="4"/>
        <v>71.767882337643982</v>
      </c>
      <c r="AQ77" s="161">
        <f t="shared" si="4"/>
        <v>79.929857423969224</v>
      </c>
      <c r="AR77" s="161">
        <f t="shared" si="4"/>
        <v>88.091832510294466</v>
      </c>
      <c r="AS77" s="161">
        <f t="shared" si="4"/>
        <v>96.253807596619595</v>
      </c>
      <c r="AT77" s="161">
        <f t="shared" si="4"/>
        <v>104.41578268294484</v>
      </c>
      <c r="AU77" s="161">
        <f t="shared" si="4"/>
        <v>112.57775776927008</v>
      </c>
      <c r="AV77" s="161">
        <f t="shared" si="4"/>
        <v>120.73973285559532</v>
      </c>
      <c r="AW77" s="161">
        <f t="shared" si="4"/>
        <v>128.90170794192056</v>
      </c>
      <c r="AX77" s="161">
        <f t="shared" si="5"/>
        <v>1.6051364365971108</v>
      </c>
      <c r="AY77" s="161">
        <f t="shared" si="5"/>
        <v>5.617977528089888</v>
      </c>
      <c r="AZ77" s="161">
        <f t="shared" si="5"/>
        <v>9.6308186195826639</v>
      </c>
      <c r="BA77" s="161">
        <f t="shared" si="5"/>
        <v>13.643659711075442</v>
      </c>
      <c r="BB77" s="161">
        <f t="shared" si="5"/>
        <v>17.656500802568218</v>
      </c>
      <c r="BC77" s="161">
        <f t="shared" si="5"/>
        <v>21.669341894060995</v>
      </c>
      <c r="BD77" s="161">
        <f t="shared" si="5"/>
        <v>25.682182985553773</v>
      </c>
      <c r="BE77" s="161">
        <f t="shared" si="5"/>
        <v>29.695024077046551</v>
      </c>
      <c r="BF77" s="161">
        <f t="shared" si="5"/>
        <v>33.707865168539328</v>
      </c>
      <c r="BG77" s="161">
        <f t="shared" si="5"/>
        <v>37.720706260032102</v>
      </c>
      <c r="BH77" s="161">
        <f t="shared" si="5"/>
        <v>41.733547351524876</v>
      </c>
      <c r="BI77" s="161">
        <f t="shared" si="5"/>
        <v>45.746388443017658</v>
      </c>
    </row>
    <row r="78" spans="21:61" x14ac:dyDescent="0.25">
      <c r="U78" s="160">
        <f t="shared" si="6"/>
        <v>-2</v>
      </c>
      <c r="V78" s="161">
        <f t="shared" si="2"/>
        <v>0.3269366364648007</v>
      </c>
      <c r="W78" s="161">
        <f t="shared" si="2"/>
        <v>0.65421714359269434</v>
      </c>
      <c r="X78" s="161">
        <f t="shared" si="2"/>
        <v>0.98184206419185083</v>
      </c>
      <c r="Y78" s="161">
        <f t="shared" si="2"/>
        <v>1.3098119422134893</v>
      </c>
      <c r="Z78" s="161">
        <f t="shared" si="2"/>
        <v>1.6381273227548883</v>
      </c>
      <c r="AA78" s="161">
        <f t="shared" si="2"/>
        <v>1.9667887520624063</v>
      </c>
      <c r="AB78" s="161">
        <f t="shared" si="2"/>
        <v>2.2957967775345107</v>
      </c>
      <c r="AC78" s="161">
        <f t="shared" si="2"/>
        <v>2.6251519477248162</v>
      </c>
      <c r="AD78" s="161">
        <f t="shared" si="2"/>
        <v>2.9548548123451353</v>
      </c>
      <c r="AE78" s="161">
        <f t="shared" si="2"/>
        <v>3.2849059222685346</v>
      </c>
      <c r="AF78" s="161">
        <f t="shared" si="3"/>
        <v>-14.367067725124343</v>
      </c>
      <c r="AG78" s="161">
        <f t="shared" si="3"/>
        <v>-6.2652952947927361</v>
      </c>
      <c r="AH78" s="161">
        <f t="shared" si="3"/>
        <v>1.8364771355389848</v>
      </c>
      <c r="AI78" s="161">
        <f t="shared" si="3"/>
        <v>9.9382495658705921</v>
      </c>
      <c r="AJ78" s="161">
        <f t="shared" si="3"/>
        <v>18.040021996202313</v>
      </c>
      <c r="AK78" s="161">
        <f t="shared" si="3"/>
        <v>26.14179442653392</v>
      </c>
      <c r="AL78" s="161">
        <f t="shared" si="3"/>
        <v>34.243566856865641</v>
      </c>
      <c r="AM78" s="161">
        <f t="shared" si="3"/>
        <v>42.345339287197362</v>
      </c>
      <c r="AN78" s="161">
        <f t="shared" si="3"/>
        <v>50.447111717528969</v>
      </c>
      <c r="AO78" s="161">
        <f t="shared" si="3"/>
        <v>58.548884147860804</v>
      </c>
      <c r="AP78" s="161">
        <f t="shared" si="4"/>
        <v>66.650656578192411</v>
      </c>
      <c r="AQ78" s="161">
        <f t="shared" si="4"/>
        <v>74.752429008524132</v>
      </c>
      <c r="AR78" s="161">
        <f t="shared" si="4"/>
        <v>82.854201438855853</v>
      </c>
      <c r="AS78" s="161">
        <f t="shared" si="4"/>
        <v>90.95597386918746</v>
      </c>
      <c r="AT78" s="161">
        <f t="shared" si="4"/>
        <v>99.057746299519181</v>
      </c>
      <c r="AU78" s="161">
        <f t="shared" si="4"/>
        <v>107.15951872985079</v>
      </c>
      <c r="AV78" s="161">
        <f t="shared" si="4"/>
        <v>115.26129116018251</v>
      </c>
      <c r="AW78" s="161">
        <f t="shared" si="4"/>
        <v>123.36306359051423</v>
      </c>
      <c r="AX78" s="161">
        <f t="shared" si="5"/>
        <v>0.80128205128205132</v>
      </c>
      <c r="AY78" s="161">
        <f t="shared" si="5"/>
        <v>4.8076923076923075</v>
      </c>
      <c r="AZ78" s="161">
        <f t="shared" si="5"/>
        <v>8.8141025641025639</v>
      </c>
      <c r="BA78" s="161">
        <f t="shared" si="5"/>
        <v>12.820512820512821</v>
      </c>
      <c r="BB78" s="161">
        <f t="shared" si="5"/>
        <v>16.826923076923077</v>
      </c>
      <c r="BC78" s="161">
        <f t="shared" si="5"/>
        <v>20.833333333333332</v>
      </c>
      <c r="BD78" s="161">
        <f t="shared" si="5"/>
        <v>24.839743589743591</v>
      </c>
      <c r="BE78" s="161">
        <f t="shared" si="5"/>
        <v>28.846153846153847</v>
      </c>
      <c r="BF78" s="161">
        <f t="shared" si="5"/>
        <v>32.852564102564102</v>
      </c>
      <c r="BG78" s="161">
        <f t="shared" si="5"/>
        <v>36.858974358974358</v>
      </c>
      <c r="BH78" s="161">
        <f t="shared" si="5"/>
        <v>40.865384615384613</v>
      </c>
      <c r="BI78" s="161">
        <f t="shared" si="5"/>
        <v>44.871794871794869</v>
      </c>
    </row>
    <row r="79" spans="21:61" x14ac:dyDescent="0.25">
      <c r="U79" s="160">
        <f t="shared" si="6"/>
        <v>0</v>
      </c>
      <c r="V79" s="161">
        <f t="shared" si="2"/>
        <v>0.3789940880343049</v>
      </c>
      <c r="W79" s="161">
        <f t="shared" si="2"/>
        <v>0.75845031141281127</v>
      </c>
      <c r="X79" s="161">
        <f t="shared" si="2"/>
        <v>1.1383695159245673</v>
      </c>
      <c r="Y79" s="161">
        <f t="shared" si="2"/>
        <v>1.5187525494238048</v>
      </c>
      <c r="Z79" s="161">
        <f t="shared" si="2"/>
        <v>1.8996002618362473</v>
      </c>
      <c r="AA79" s="161">
        <f t="shared" si="2"/>
        <v>2.2809135051654383</v>
      </c>
      <c r="AB79" s="161">
        <f t="shared" si="2"/>
        <v>2.6626931334990962</v>
      </c>
      <c r="AC79" s="161">
        <f t="shared" si="2"/>
        <v>3.0449400030154914</v>
      </c>
      <c r="AD79" s="161">
        <f t="shared" si="2"/>
        <v>3.427654971989845</v>
      </c>
      <c r="AE79" s="161">
        <f t="shared" si="2"/>
        <v>3.8108389008007535</v>
      </c>
      <c r="AF79" s="161">
        <f t="shared" si="3"/>
        <v>-18.816146489721746</v>
      </c>
      <c r="AG79" s="161">
        <f t="shared" si="3"/>
        <v>-10.773695109584651</v>
      </c>
      <c r="AH79" s="161">
        <f t="shared" si="3"/>
        <v>-2.7312437294476695</v>
      </c>
      <c r="AI79" s="161">
        <f t="shared" si="3"/>
        <v>5.3112076506894255</v>
      </c>
      <c r="AJ79" s="161">
        <f t="shared" si="3"/>
        <v>13.353659030826407</v>
      </c>
      <c r="AK79" s="161">
        <f t="shared" si="3"/>
        <v>21.396110410963502</v>
      </c>
      <c r="AL79" s="161">
        <f t="shared" si="3"/>
        <v>29.438561791100483</v>
      </c>
      <c r="AM79" s="161">
        <f t="shared" si="3"/>
        <v>37.481013171237578</v>
      </c>
      <c r="AN79" s="161">
        <f t="shared" si="3"/>
        <v>45.523464551374673</v>
      </c>
      <c r="AO79" s="161">
        <f t="shared" si="3"/>
        <v>53.565915931511768</v>
      </c>
      <c r="AP79" s="161">
        <f t="shared" si="4"/>
        <v>61.608367311648863</v>
      </c>
      <c r="AQ79" s="161">
        <f t="shared" si="4"/>
        <v>69.650818691785844</v>
      </c>
      <c r="AR79" s="161">
        <f t="shared" si="4"/>
        <v>77.693270071922939</v>
      </c>
      <c r="AS79" s="161">
        <f t="shared" si="4"/>
        <v>85.73572145205992</v>
      </c>
      <c r="AT79" s="161">
        <f t="shared" si="4"/>
        <v>93.778172832197015</v>
      </c>
      <c r="AU79" s="161">
        <f t="shared" si="4"/>
        <v>101.820624212334</v>
      </c>
      <c r="AV79" s="161">
        <f t="shared" si="4"/>
        <v>109.86307559247109</v>
      </c>
      <c r="AW79" s="161">
        <f t="shared" si="4"/>
        <v>117.90552697260807</v>
      </c>
      <c r="AX79" s="161">
        <f t="shared" si="5"/>
        <v>0</v>
      </c>
      <c r="AY79" s="161">
        <f t="shared" si="5"/>
        <v>4</v>
      </c>
      <c r="AZ79" s="161">
        <f t="shared" si="5"/>
        <v>8</v>
      </c>
      <c r="BA79" s="161">
        <f t="shared" si="5"/>
        <v>12</v>
      </c>
      <c r="BB79" s="161">
        <f t="shared" si="5"/>
        <v>16</v>
      </c>
      <c r="BC79" s="161">
        <f t="shared" si="5"/>
        <v>20</v>
      </c>
      <c r="BD79" s="161">
        <f t="shared" si="5"/>
        <v>24</v>
      </c>
      <c r="BE79" s="161">
        <f t="shared" si="5"/>
        <v>28</v>
      </c>
      <c r="BF79" s="161">
        <f t="shared" si="5"/>
        <v>32</v>
      </c>
      <c r="BG79" s="161">
        <f t="shared" si="5"/>
        <v>36</v>
      </c>
      <c r="BH79" s="161">
        <f t="shared" si="5"/>
        <v>40</v>
      </c>
      <c r="BI79" s="161">
        <f t="shared" si="5"/>
        <v>44</v>
      </c>
    </row>
    <row r="80" spans="21:61" x14ac:dyDescent="0.25">
      <c r="U80" s="160">
        <f t="shared" si="6"/>
        <v>2</v>
      </c>
      <c r="V80" s="161">
        <f t="shared" si="2"/>
        <v>0.4382363986573522</v>
      </c>
      <c r="W80" s="161">
        <f t="shared" si="2"/>
        <v>0.87709076049183232</v>
      </c>
      <c r="X80" s="161">
        <f t="shared" si="2"/>
        <v>1.3165643935232403</v>
      </c>
      <c r="Y80" s="161">
        <f t="shared" si="2"/>
        <v>1.7566586094654986</v>
      </c>
      <c r="Z80" s="161">
        <f t="shared" si="2"/>
        <v>2.1973747237397023</v>
      </c>
      <c r="AA80" s="161">
        <f t="shared" si="2"/>
        <v>2.6387140554872262</v>
      </c>
      <c r="AB80" s="161">
        <f t="shared" si="2"/>
        <v>3.0806779275828844</v>
      </c>
      <c r="AC80" s="161">
        <f t="shared" si="2"/>
        <v>3.5232676666481497</v>
      </c>
      <c r="AD80" s="161">
        <f t="shared" si="2"/>
        <v>3.9664846030644241</v>
      </c>
      <c r="AE80" s="161">
        <f t="shared" si="2"/>
        <v>4.4103300709863733</v>
      </c>
      <c r="AF80" s="161">
        <f t="shared" si="3"/>
        <v>-23.200546660612304</v>
      </c>
      <c r="AG80" s="161">
        <f t="shared" si="3"/>
        <v>-15.216553949420472</v>
      </c>
      <c r="AH80" s="161">
        <f t="shared" si="3"/>
        <v>-7.2325612382286408</v>
      </c>
      <c r="AI80" s="161">
        <f t="shared" si="3"/>
        <v>0.75143147296319057</v>
      </c>
      <c r="AJ80" s="161">
        <f t="shared" si="3"/>
        <v>8.735424184155022</v>
      </c>
      <c r="AK80" s="161">
        <f t="shared" si="3"/>
        <v>16.719416895346853</v>
      </c>
      <c r="AL80" s="161">
        <f t="shared" si="3"/>
        <v>24.703409606538685</v>
      </c>
      <c r="AM80" s="161">
        <f t="shared" si="3"/>
        <v>32.687402317730516</v>
      </c>
      <c r="AN80" s="161">
        <f t="shared" si="3"/>
        <v>40.671395028922348</v>
      </c>
      <c r="AO80" s="161">
        <f t="shared" si="3"/>
        <v>48.655387740114293</v>
      </c>
      <c r="AP80" s="161">
        <f t="shared" si="4"/>
        <v>56.639380451306124</v>
      </c>
      <c r="AQ80" s="161">
        <f t="shared" si="4"/>
        <v>64.623373162497955</v>
      </c>
      <c r="AR80" s="161">
        <f t="shared" si="4"/>
        <v>72.607365873689787</v>
      </c>
      <c r="AS80" s="161">
        <f t="shared" si="4"/>
        <v>80.591358584881618</v>
      </c>
      <c r="AT80" s="161">
        <f t="shared" si="4"/>
        <v>88.57535129607345</v>
      </c>
      <c r="AU80" s="161">
        <f t="shared" si="4"/>
        <v>96.559344007265281</v>
      </c>
      <c r="AV80" s="161">
        <f t="shared" si="4"/>
        <v>104.54333671845711</v>
      </c>
      <c r="AW80" s="161">
        <f t="shared" si="4"/>
        <v>112.52732942964894</v>
      </c>
      <c r="AX80" s="161">
        <f t="shared" si="5"/>
        <v>-0.79872204472843455</v>
      </c>
      <c r="AY80" s="161">
        <f t="shared" si="5"/>
        <v>3.1948881789137382</v>
      </c>
      <c r="AZ80" s="161">
        <f t="shared" si="5"/>
        <v>7.1884984025559104</v>
      </c>
      <c r="BA80" s="161">
        <f t="shared" si="5"/>
        <v>11.182108626198083</v>
      </c>
      <c r="BB80" s="161">
        <f t="shared" si="5"/>
        <v>15.175718849840255</v>
      </c>
      <c r="BC80" s="161">
        <f t="shared" si="5"/>
        <v>19.169329073482427</v>
      </c>
      <c r="BD80" s="161">
        <f t="shared" si="5"/>
        <v>23.162939297124602</v>
      </c>
      <c r="BE80" s="161">
        <f t="shared" si="5"/>
        <v>27.156549520766774</v>
      </c>
      <c r="BF80" s="161">
        <f t="shared" si="5"/>
        <v>31.150159744408946</v>
      </c>
      <c r="BG80" s="161">
        <f t="shared" si="5"/>
        <v>35.143769968051117</v>
      </c>
      <c r="BH80" s="161">
        <f t="shared" si="5"/>
        <v>39.137380191693289</v>
      </c>
      <c r="BI80" s="161">
        <f t="shared" si="5"/>
        <v>43.130990415335461</v>
      </c>
    </row>
    <row r="81" spans="21:61" x14ac:dyDescent="0.25">
      <c r="U81" s="160">
        <f t="shared" si="6"/>
        <v>4</v>
      </c>
      <c r="V81" s="161">
        <f t="shared" si="2"/>
        <v>0.50549882912629962</v>
      </c>
      <c r="W81" s="161">
        <f t="shared" si="2"/>
        <v>1.0118199634082092</v>
      </c>
      <c r="X81" s="161">
        <f t="shared" si="2"/>
        <v>1.5189654109696658</v>
      </c>
      <c r="Y81" s="161">
        <f t="shared" si="2"/>
        <v>2.0269371864785626</v>
      </c>
      <c r="Z81" s="161">
        <f t="shared" si="2"/>
        <v>2.5357373111734276</v>
      </c>
      <c r="AA81" s="161">
        <f t="shared" si="2"/>
        <v>3.0453678128902326</v>
      </c>
      <c r="AB81" s="161">
        <f t="shared" si="2"/>
        <v>3.5558307260893334</v>
      </c>
      <c r="AC81" s="161">
        <f t="shared" si="2"/>
        <v>4.0671280918825401</v>
      </c>
      <c r="AD81" s="161">
        <f t="shared" si="2"/>
        <v>4.5792619580603251</v>
      </c>
      <c r="AE81" s="161">
        <f t="shared" si="2"/>
        <v>5.0922343791191578</v>
      </c>
      <c r="AF81" s="161">
        <f t="shared" si="3"/>
        <v>-27.521668459922353</v>
      </c>
      <c r="AG81" s="161">
        <f t="shared" si="3"/>
        <v>-19.595290706054698</v>
      </c>
      <c r="AH81" s="161">
        <f t="shared" si="3"/>
        <v>-11.668912952187043</v>
      </c>
      <c r="AI81" s="161">
        <f t="shared" si="3"/>
        <v>-3.7425351983192741</v>
      </c>
      <c r="AJ81" s="161">
        <f t="shared" si="3"/>
        <v>4.1838425555483809</v>
      </c>
      <c r="AK81" s="161">
        <f t="shared" si="3"/>
        <v>12.11022030941615</v>
      </c>
      <c r="AL81" s="161">
        <f t="shared" si="3"/>
        <v>20.036598063283805</v>
      </c>
      <c r="AM81" s="161">
        <f t="shared" si="3"/>
        <v>27.962975817151573</v>
      </c>
      <c r="AN81" s="161">
        <f t="shared" si="3"/>
        <v>35.889353571019228</v>
      </c>
      <c r="AO81" s="161">
        <f t="shared" si="3"/>
        <v>43.815731324886997</v>
      </c>
      <c r="AP81" s="161">
        <f t="shared" si="4"/>
        <v>51.742109078754766</v>
      </c>
      <c r="AQ81" s="161">
        <f t="shared" si="4"/>
        <v>59.66848683262242</v>
      </c>
      <c r="AR81" s="161">
        <f t="shared" si="4"/>
        <v>67.594864586490189</v>
      </c>
      <c r="AS81" s="161">
        <f t="shared" si="4"/>
        <v>75.521242340357844</v>
      </c>
      <c r="AT81" s="161">
        <f t="shared" si="4"/>
        <v>83.447620094225499</v>
      </c>
      <c r="AU81" s="161">
        <f t="shared" si="4"/>
        <v>91.373997848093268</v>
      </c>
      <c r="AV81" s="161">
        <f t="shared" si="4"/>
        <v>99.300375601960923</v>
      </c>
      <c r="AW81" s="161">
        <f t="shared" si="4"/>
        <v>107.22675335582869</v>
      </c>
      <c r="AX81" s="161">
        <f t="shared" si="5"/>
        <v>-1.594896331738437</v>
      </c>
      <c r="AY81" s="161">
        <f t="shared" si="5"/>
        <v>2.3923444976076556</v>
      </c>
      <c r="AZ81" s="161">
        <f t="shared" si="5"/>
        <v>6.3795853269537481</v>
      </c>
      <c r="BA81" s="161">
        <f t="shared" si="5"/>
        <v>10.36682615629984</v>
      </c>
      <c r="BB81" s="161">
        <f t="shared" si="5"/>
        <v>14.354066985645932</v>
      </c>
      <c r="BC81" s="161">
        <f t="shared" si="5"/>
        <v>18.341307814992025</v>
      </c>
      <c r="BD81" s="161">
        <f t="shared" si="5"/>
        <v>22.328548644338117</v>
      </c>
      <c r="BE81" s="161">
        <f t="shared" si="5"/>
        <v>26.315789473684209</v>
      </c>
      <c r="BF81" s="161">
        <f t="shared" si="5"/>
        <v>30.303030303030305</v>
      </c>
      <c r="BG81" s="161">
        <f t="shared" si="5"/>
        <v>34.290271132376397</v>
      </c>
      <c r="BH81" s="161">
        <f t="shared" si="5"/>
        <v>38.277511961722489</v>
      </c>
      <c r="BI81" s="161">
        <f t="shared" si="5"/>
        <v>42.264752791068581</v>
      </c>
    </row>
    <row r="82" spans="21:61" x14ac:dyDescent="0.25">
      <c r="U82" s="160">
        <f t="shared" si="6"/>
        <v>6</v>
      </c>
      <c r="V82" s="161">
        <f t="shared" si="2"/>
        <v>0.58169483113751219</v>
      </c>
      <c r="W82" s="161">
        <f t="shared" si="2"/>
        <v>1.1644786835470327</v>
      </c>
      <c r="X82" s="161">
        <f t="shared" si="2"/>
        <v>1.7483546183143654</v>
      </c>
      <c r="Y82" s="161">
        <f t="shared" si="2"/>
        <v>2.3333257080084513</v>
      </c>
      <c r="Z82" s="161">
        <f t="shared" si="2"/>
        <v>2.9193950367352612</v>
      </c>
      <c r="AA82" s="161">
        <f t="shared" si="2"/>
        <v>3.5065657001920005</v>
      </c>
      <c r="AB82" s="161">
        <f t="shared" si="2"/>
        <v>4.0948408057216135</v>
      </c>
      <c r="AC82" s="161">
        <f t="shared" si="2"/>
        <v>4.6842234723675968</v>
      </c>
      <c r="AD82" s="161">
        <f t="shared" si="2"/>
        <v>5.274716830929127</v>
      </c>
      <c r="AE82" s="161">
        <f t="shared" si="2"/>
        <v>5.8663240240164942</v>
      </c>
      <c r="AF82" s="161">
        <f t="shared" si="3"/>
        <v>-31.780871981613814</v>
      </c>
      <c r="AG82" s="161">
        <f t="shared" si="3"/>
        <v>-23.911283608035319</v>
      </c>
      <c r="AH82" s="161">
        <f t="shared" si="3"/>
        <v>-16.041695234456824</v>
      </c>
      <c r="AI82" s="161">
        <f t="shared" si="3"/>
        <v>-8.1721068608783298</v>
      </c>
      <c r="AJ82" s="161">
        <f t="shared" si="3"/>
        <v>-0.3025184872999489</v>
      </c>
      <c r="AK82" s="161">
        <f t="shared" si="3"/>
        <v>7.5670698862785457</v>
      </c>
      <c r="AL82" s="161">
        <f t="shared" si="3"/>
        <v>15.43665825985704</v>
      </c>
      <c r="AM82" s="161">
        <f t="shared" si="3"/>
        <v>23.306246633435535</v>
      </c>
      <c r="AN82" s="161">
        <f t="shared" si="3"/>
        <v>31.17583500701403</v>
      </c>
      <c r="AO82" s="161">
        <f t="shared" si="3"/>
        <v>39.045423380592638</v>
      </c>
      <c r="AP82" s="161">
        <f t="shared" si="4"/>
        <v>46.915011754171132</v>
      </c>
      <c r="AQ82" s="161">
        <f t="shared" si="4"/>
        <v>54.784600127749627</v>
      </c>
      <c r="AR82" s="161">
        <f t="shared" si="4"/>
        <v>62.654188501328122</v>
      </c>
      <c r="AS82" s="161">
        <f t="shared" si="4"/>
        <v>70.523776874906503</v>
      </c>
      <c r="AT82" s="161">
        <f t="shared" si="4"/>
        <v>78.393365248484997</v>
      </c>
      <c r="AU82" s="161">
        <f t="shared" si="4"/>
        <v>86.262953622063492</v>
      </c>
      <c r="AV82" s="161">
        <f t="shared" si="4"/>
        <v>94.132541995641986</v>
      </c>
      <c r="AW82" s="161">
        <f t="shared" si="4"/>
        <v>102.00213036922048</v>
      </c>
      <c r="AX82" s="161">
        <f t="shared" si="5"/>
        <v>-2.3885350318471339</v>
      </c>
      <c r="AY82" s="161">
        <f t="shared" si="5"/>
        <v>1.5923566878980893</v>
      </c>
      <c r="AZ82" s="161">
        <f t="shared" si="5"/>
        <v>5.5732484076433124</v>
      </c>
      <c r="BA82" s="161">
        <f t="shared" si="5"/>
        <v>9.5541401273885356</v>
      </c>
      <c r="BB82" s="161">
        <f t="shared" si="5"/>
        <v>13.535031847133759</v>
      </c>
      <c r="BC82" s="161">
        <f t="shared" si="5"/>
        <v>17.515923566878982</v>
      </c>
      <c r="BD82" s="161">
        <f t="shared" si="5"/>
        <v>21.496815286624205</v>
      </c>
      <c r="BE82" s="161">
        <f t="shared" si="5"/>
        <v>25.477707006369428</v>
      </c>
      <c r="BF82" s="161">
        <f t="shared" si="5"/>
        <v>29.458598726114648</v>
      </c>
      <c r="BG82" s="161">
        <f t="shared" si="5"/>
        <v>33.439490445859875</v>
      </c>
      <c r="BH82" s="161">
        <f t="shared" si="5"/>
        <v>37.420382165605098</v>
      </c>
      <c r="BI82" s="161">
        <f t="shared" si="5"/>
        <v>41.401273885350321</v>
      </c>
    </row>
    <row r="83" spans="21:61" x14ac:dyDescent="0.25">
      <c r="U83" s="160">
        <f t="shared" si="6"/>
        <v>8</v>
      </c>
      <c r="V83" s="161">
        <f t="shared" si="2"/>
        <v>0.66782150460519896</v>
      </c>
      <c r="W83" s="161">
        <f t="shared" si="2"/>
        <v>1.3370785877220184</v>
      </c>
      <c r="X83" s="161">
        <f t="shared" si="2"/>
        <v>2.0077758833053045</v>
      </c>
      <c r="Y83" s="161">
        <f t="shared" si="2"/>
        <v>2.679918045275528</v>
      </c>
      <c r="Z83" s="161">
        <f t="shared" si="2"/>
        <v>3.3535097476264331</v>
      </c>
      <c r="AA83" s="161">
        <f t="shared" si="2"/>
        <v>4.0285556845333721</v>
      </c>
      <c r="AB83" s="161">
        <f t="shared" si="2"/>
        <v>4.7050605704623552</v>
      </c>
      <c r="AC83" s="161">
        <f t="shared" si="2"/>
        <v>5.3830291402798025</v>
      </c>
      <c r="AD83" s="161">
        <f t="shared" si="2"/>
        <v>6.0624661493630061</v>
      </c>
      <c r="AE83" s="161">
        <f t="shared" si="2"/>
        <v>6.7433763737113148</v>
      </c>
      <c r="AF83" s="161">
        <f t="shared" si="3"/>
        <v>-35.979478618771054</v>
      </c>
      <c r="AG83" s="161">
        <f t="shared" si="3"/>
        <v>-28.165871667021293</v>
      </c>
      <c r="AH83" s="161">
        <f t="shared" si="3"/>
        <v>-20.352264715271531</v>
      </c>
      <c r="AI83" s="161">
        <f t="shared" si="3"/>
        <v>-12.538657763521883</v>
      </c>
      <c r="AJ83" s="161">
        <f t="shared" si="3"/>
        <v>-4.7250508117721211</v>
      </c>
      <c r="AK83" s="161">
        <f t="shared" si="3"/>
        <v>3.088556139977527</v>
      </c>
      <c r="AL83" s="161">
        <f t="shared" si="3"/>
        <v>10.902163091727289</v>
      </c>
      <c r="AM83" s="161">
        <f t="shared" si="3"/>
        <v>18.71577004347705</v>
      </c>
      <c r="AN83" s="161">
        <f t="shared" si="3"/>
        <v>26.529376995226698</v>
      </c>
      <c r="AO83" s="161">
        <f t="shared" si="3"/>
        <v>34.342983946976574</v>
      </c>
      <c r="AP83" s="161">
        <f t="shared" si="4"/>
        <v>42.156590898726336</v>
      </c>
      <c r="AQ83" s="161">
        <f t="shared" si="4"/>
        <v>49.970197850475984</v>
      </c>
      <c r="AR83" s="161">
        <f t="shared" si="4"/>
        <v>57.783804802225745</v>
      </c>
      <c r="AS83" s="161">
        <f t="shared" si="4"/>
        <v>65.597411753975393</v>
      </c>
      <c r="AT83" s="161">
        <f t="shared" si="4"/>
        <v>73.411018705725155</v>
      </c>
      <c r="AU83" s="161">
        <f t="shared" si="4"/>
        <v>81.224625657474917</v>
      </c>
      <c r="AV83" s="161">
        <f t="shared" si="4"/>
        <v>89.038232609224565</v>
      </c>
      <c r="AW83" s="161">
        <f t="shared" si="4"/>
        <v>96.851839560974327</v>
      </c>
      <c r="AX83" s="161">
        <f t="shared" si="5"/>
        <v>-3.1796502384737679</v>
      </c>
      <c r="AY83" s="161">
        <f t="shared" si="5"/>
        <v>0.79491255961844198</v>
      </c>
      <c r="AZ83" s="161">
        <f t="shared" si="5"/>
        <v>4.7694753577106521</v>
      </c>
      <c r="BA83" s="161">
        <f t="shared" si="5"/>
        <v>8.7440381558028619</v>
      </c>
      <c r="BB83" s="161">
        <f t="shared" si="5"/>
        <v>12.718600953895072</v>
      </c>
      <c r="BC83" s="161">
        <f t="shared" si="5"/>
        <v>16.693163751987282</v>
      </c>
      <c r="BD83" s="161">
        <f t="shared" si="5"/>
        <v>20.66772655007949</v>
      </c>
      <c r="BE83" s="161">
        <f t="shared" si="5"/>
        <v>24.642289348171701</v>
      </c>
      <c r="BF83" s="161">
        <f t="shared" si="5"/>
        <v>28.616852146263909</v>
      </c>
      <c r="BG83" s="161">
        <f t="shared" si="5"/>
        <v>32.591414944356117</v>
      </c>
      <c r="BH83" s="161">
        <f t="shared" si="5"/>
        <v>36.565977742448332</v>
      </c>
      <c r="BI83" s="161">
        <f t="shared" si="5"/>
        <v>40.54054054054054</v>
      </c>
    </row>
    <row r="84" spans="21:61" x14ac:dyDescent="0.25">
      <c r="U84" s="160">
        <f t="shared" si="6"/>
        <v>10</v>
      </c>
      <c r="V84" s="161">
        <f t="shared" ref="V84:AE93" si="7">622*f*EXP(LN(140974)-3928.5/(231.667+t))/(100-f*EXP(LN(140974)-3928.5/(231.667+t)))</f>
        <v>0.76496530428048137</v>
      </c>
      <c r="W84" s="161">
        <f t="shared" si="7"/>
        <v>1.5318145071953646</v>
      </c>
      <c r="X84" s="161">
        <f t="shared" si="7"/>
        <v>2.3005545766089988</v>
      </c>
      <c r="Y84" s="161">
        <f t="shared" si="7"/>
        <v>3.0711925147903201</v>
      </c>
      <c r="Z84" s="161">
        <f t="shared" si="7"/>
        <v>3.8437353586254588</v>
      </c>
      <c r="AA84" s="161">
        <f t="shared" si="7"/>
        <v>4.6181901798319256</v>
      </c>
      <c r="AB84" s="161">
        <f t="shared" si="7"/>
        <v>5.3945640851743928</v>
      </c>
      <c r="AC84" s="161">
        <f t="shared" si="7"/>
        <v>6.1728642166820729</v>
      </c>
      <c r="AD84" s="161">
        <f t="shared" si="7"/>
        <v>6.9530977518677339</v>
      </c>
      <c r="AE84" s="161">
        <f t="shared" si="7"/>
        <v>7.7352719039483269</v>
      </c>
      <c r="AF84" s="161">
        <f t="shared" ref="AF84:AO93" si="8">101325*v/(0.46124*(273.15+t))-622</f>
        <v>-40.118772430399076</v>
      </c>
      <c r="AG84" s="161">
        <f t="shared" si="8"/>
        <v>-32.360356062804385</v>
      </c>
      <c r="AH84" s="161">
        <f t="shared" si="8"/>
        <v>-24.601939695209694</v>
      </c>
      <c r="AI84" s="161">
        <f t="shared" si="8"/>
        <v>-16.843523327615003</v>
      </c>
      <c r="AJ84" s="161">
        <f t="shared" si="8"/>
        <v>-9.0851069600203118</v>
      </c>
      <c r="AK84" s="161">
        <f t="shared" si="8"/>
        <v>-1.3266905924256207</v>
      </c>
      <c r="AL84" s="161">
        <f t="shared" si="8"/>
        <v>6.4317257751690704</v>
      </c>
      <c r="AM84" s="161">
        <f t="shared" si="8"/>
        <v>14.190142142763762</v>
      </c>
      <c r="AN84" s="161">
        <f t="shared" si="8"/>
        <v>21.948558510358453</v>
      </c>
      <c r="AO84" s="161">
        <f t="shared" si="8"/>
        <v>29.706974877953257</v>
      </c>
      <c r="AP84" s="161">
        <f t="shared" ref="AP84:AW93" si="9">101325*v/(0.46124*(273.15+t))-622</f>
        <v>37.465391245547835</v>
      </c>
      <c r="AQ84" s="161">
        <f t="shared" si="9"/>
        <v>45.223807613142526</v>
      </c>
      <c r="AR84" s="161">
        <f t="shared" si="9"/>
        <v>52.982223980737217</v>
      </c>
      <c r="AS84" s="161">
        <f t="shared" si="9"/>
        <v>60.740640348331908</v>
      </c>
      <c r="AT84" s="161">
        <f t="shared" si="9"/>
        <v>68.499056715926599</v>
      </c>
      <c r="AU84" s="161">
        <f t="shared" si="9"/>
        <v>76.25747308352129</v>
      </c>
      <c r="AV84" s="161">
        <f t="shared" si="9"/>
        <v>84.015889451115982</v>
      </c>
      <c r="AW84" s="161">
        <f t="shared" si="9"/>
        <v>91.774305818710673</v>
      </c>
      <c r="AX84" s="161">
        <f t="shared" ref="AX84:BI93" si="10">(h-t)/(0.002*t+2.5)</f>
        <v>-3.9682539682539684</v>
      </c>
      <c r="AY84" s="161">
        <f t="shared" si="10"/>
        <v>0</v>
      </c>
      <c r="AZ84" s="161">
        <f t="shared" si="10"/>
        <v>3.9682539682539684</v>
      </c>
      <c r="BA84" s="161">
        <f t="shared" si="10"/>
        <v>7.9365079365079367</v>
      </c>
      <c r="BB84" s="161">
        <f t="shared" si="10"/>
        <v>11.904761904761905</v>
      </c>
      <c r="BC84" s="161">
        <f t="shared" si="10"/>
        <v>15.873015873015873</v>
      </c>
      <c r="BD84" s="161">
        <f t="shared" si="10"/>
        <v>19.841269841269842</v>
      </c>
      <c r="BE84" s="161">
        <f t="shared" si="10"/>
        <v>23.80952380952381</v>
      </c>
      <c r="BF84" s="161">
        <f t="shared" si="10"/>
        <v>27.777777777777779</v>
      </c>
      <c r="BG84" s="161">
        <f t="shared" si="10"/>
        <v>31.746031746031747</v>
      </c>
      <c r="BH84" s="161">
        <f t="shared" si="10"/>
        <v>35.714285714285715</v>
      </c>
      <c r="BI84" s="161">
        <f t="shared" si="10"/>
        <v>39.682539682539684</v>
      </c>
    </row>
    <row r="85" spans="21:61" x14ac:dyDescent="0.25">
      <c r="U85" s="160">
        <f t="shared" si="6"/>
        <v>12</v>
      </c>
      <c r="V85" s="161">
        <f t="shared" si="7"/>
        <v>0.8743080045948608</v>
      </c>
      <c r="W85" s="161">
        <f t="shared" si="7"/>
        <v>1.7510773934047037</v>
      </c>
      <c r="X85" s="161">
        <f t="shared" si="7"/>
        <v>2.6303185751507847</v>
      </c>
      <c r="Y85" s="161">
        <f t="shared" si="7"/>
        <v>3.5120420173258493</v>
      </c>
      <c r="Z85" s="161">
        <f t="shared" si="7"/>
        <v>4.3962582466095252</v>
      </c>
      <c r="AA85" s="161">
        <f t="shared" si="7"/>
        <v>5.2829778492872439</v>
      </c>
      <c r="AB85" s="161">
        <f t="shared" si="7"/>
        <v>6.1722114716727292</v>
      </c>
      <c r="AC85" s="161">
        <f t="shared" si="7"/>
        <v>7.0639698205340729</v>
      </c>
      <c r="AD85" s="161">
        <f t="shared" si="7"/>
        <v>7.9582636635234572</v>
      </c>
      <c r="AE85" s="161">
        <f t="shared" si="7"/>
        <v>8.8551038296105418</v>
      </c>
      <c r="AF85" s="161">
        <f t="shared" si="8"/>
        <v>-44.200001450701393</v>
      </c>
      <c r="AG85" s="161">
        <f t="shared" si="8"/>
        <v>-36.496001470044007</v>
      </c>
      <c r="AH85" s="161">
        <f t="shared" si="8"/>
        <v>-28.792001489386735</v>
      </c>
      <c r="AI85" s="161">
        <f t="shared" si="8"/>
        <v>-21.088001508729462</v>
      </c>
      <c r="AJ85" s="161">
        <f t="shared" si="8"/>
        <v>-13.384001528072076</v>
      </c>
      <c r="AK85" s="161">
        <f t="shared" si="8"/>
        <v>-5.680001547414804</v>
      </c>
      <c r="AL85" s="161">
        <f t="shared" si="8"/>
        <v>2.023998433242582</v>
      </c>
      <c r="AM85" s="161">
        <f t="shared" si="8"/>
        <v>9.7279984138998543</v>
      </c>
      <c r="AN85" s="161">
        <f t="shared" si="8"/>
        <v>17.431998394557127</v>
      </c>
      <c r="AO85" s="161">
        <f t="shared" si="8"/>
        <v>25.135998375214626</v>
      </c>
      <c r="AP85" s="161">
        <f t="shared" si="9"/>
        <v>32.839998355871899</v>
      </c>
      <c r="AQ85" s="161">
        <f t="shared" si="9"/>
        <v>40.543998336529171</v>
      </c>
      <c r="AR85" s="161">
        <f t="shared" si="9"/>
        <v>48.247998317186557</v>
      </c>
      <c r="AS85" s="161">
        <f t="shared" si="9"/>
        <v>55.951998297843829</v>
      </c>
      <c r="AT85" s="161">
        <f t="shared" si="9"/>
        <v>63.655998278501215</v>
      </c>
      <c r="AU85" s="161">
        <f t="shared" si="9"/>
        <v>71.359998259158488</v>
      </c>
      <c r="AV85" s="161">
        <f t="shared" si="9"/>
        <v>79.06399823981576</v>
      </c>
      <c r="AW85" s="161">
        <f t="shared" si="9"/>
        <v>86.767998220473146</v>
      </c>
      <c r="AX85" s="161">
        <f t="shared" si="10"/>
        <v>-4.7543581616481774</v>
      </c>
      <c r="AY85" s="161">
        <f t="shared" si="10"/>
        <v>-0.79239302694136293</v>
      </c>
      <c r="AZ85" s="161">
        <f t="shared" si="10"/>
        <v>3.1695721077654517</v>
      </c>
      <c r="BA85" s="161">
        <f t="shared" si="10"/>
        <v>7.1315372424722661</v>
      </c>
      <c r="BB85" s="161">
        <f t="shared" si="10"/>
        <v>11.09350237717908</v>
      </c>
      <c r="BC85" s="161">
        <f t="shared" si="10"/>
        <v>15.055467511885896</v>
      </c>
      <c r="BD85" s="161">
        <f t="shared" si="10"/>
        <v>19.017432646592709</v>
      </c>
      <c r="BE85" s="161">
        <f t="shared" si="10"/>
        <v>22.979397781299525</v>
      </c>
      <c r="BF85" s="161">
        <f t="shared" si="10"/>
        <v>26.941362916006337</v>
      </c>
      <c r="BG85" s="161">
        <f t="shared" si="10"/>
        <v>30.903328050713153</v>
      </c>
      <c r="BH85" s="161">
        <f t="shared" si="10"/>
        <v>34.865293185419965</v>
      </c>
      <c r="BI85" s="161">
        <f t="shared" si="10"/>
        <v>38.827258320126781</v>
      </c>
    </row>
    <row r="86" spans="21:61" x14ac:dyDescent="0.25">
      <c r="U86" s="160">
        <f t="shared" si="6"/>
        <v>14</v>
      </c>
      <c r="V86" s="161">
        <f t="shared" si="7"/>
        <v>0.99713293315988538</v>
      </c>
      <c r="W86" s="161">
        <f t="shared" si="7"/>
        <v>1.9974680225065473</v>
      </c>
      <c r="X86" s="161">
        <f t="shared" si="7"/>
        <v>3.0010207177780215</v>
      </c>
      <c r="Y86" s="161">
        <f t="shared" si="7"/>
        <v>4.0078065682614774</v>
      </c>
      <c r="Z86" s="161">
        <f t="shared" si="7"/>
        <v>5.0178412235963101</v>
      </c>
      <c r="AA86" s="161">
        <f t="shared" si="7"/>
        <v>6.0311404345850113</v>
      </c>
      <c r="AB86" s="161">
        <f t="shared" si="7"/>
        <v>7.0477200540119318</v>
      </c>
      <c r="AC86" s="161">
        <f t="shared" si="7"/>
        <v>8.0675960374699844</v>
      </c>
      <c r="AD86" s="161">
        <f t="shared" si="7"/>
        <v>9.09078444419543</v>
      </c>
      <c r="AE86" s="161">
        <f t="shared" si="7"/>
        <v>10.117301437910784</v>
      </c>
      <c r="AF86" s="161">
        <f t="shared" si="8"/>
        <v>-48.22437894364441</v>
      </c>
      <c r="AG86" s="161">
        <f t="shared" si="8"/>
        <v>-40.574037329559701</v>
      </c>
      <c r="AH86" s="161">
        <f t="shared" si="8"/>
        <v>-32.923695715474992</v>
      </c>
      <c r="AI86" s="161">
        <f t="shared" si="8"/>
        <v>-25.273354101390169</v>
      </c>
      <c r="AJ86" s="161">
        <f t="shared" si="8"/>
        <v>-17.623012487305459</v>
      </c>
      <c r="AK86" s="161">
        <f t="shared" si="8"/>
        <v>-9.9726708732207499</v>
      </c>
      <c r="AL86" s="161">
        <f t="shared" si="8"/>
        <v>-2.3223292591360405</v>
      </c>
      <c r="AM86" s="161">
        <f t="shared" si="8"/>
        <v>5.3280123549487826</v>
      </c>
      <c r="AN86" s="161">
        <f t="shared" si="8"/>
        <v>12.978353969033492</v>
      </c>
      <c r="AO86" s="161">
        <f t="shared" si="8"/>
        <v>20.628695583118315</v>
      </c>
      <c r="AP86" s="161">
        <f t="shared" si="9"/>
        <v>28.279037197203024</v>
      </c>
      <c r="AQ86" s="161">
        <f t="shared" si="9"/>
        <v>35.929378811287847</v>
      </c>
      <c r="AR86" s="161">
        <f t="shared" si="9"/>
        <v>43.579720425372557</v>
      </c>
      <c r="AS86" s="161">
        <f t="shared" si="9"/>
        <v>51.230062039457266</v>
      </c>
      <c r="AT86" s="161">
        <f t="shared" si="9"/>
        <v>58.880403653542089</v>
      </c>
      <c r="AU86" s="161">
        <f t="shared" si="9"/>
        <v>66.530745267626799</v>
      </c>
      <c r="AV86" s="161">
        <f t="shared" si="9"/>
        <v>74.181086881711508</v>
      </c>
      <c r="AW86" s="161">
        <f t="shared" si="9"/>
        <v>81.831428495796217</v>
      </c>
      <c r="AX86" s="161">
        <f t="shared" si="10"/>
        <v>-5.537974683544304</v>
      </c>
      <c r="AY86" s="161">
        <f t="shared" si="10"/>
        <v>-1.5822784810126582</v>
      </c>
      <c r="AZ86" s="161">
        <f t="shared" si="10"/>
        <v>2.3734177215189871</v>
      </c>
      <c r="BA86" s="161">
        <f t="shared" si="10"/>
        <v>6.3291139240506329</v>
      </c>
      <c r="BB86" s="161">
        <f t="shared" si="10"/>
        <v>10.284810126582279</v>
      </c>
      <c r="BC86" s="161">
        <f t="shared" si="10"/>
        <v>14.240506329113924</v>
      </c>
      <c r="BD86" s="161">
        <f t="shared" si="10"/>
        <v>18.196202531645568</v>
      </c>
      <c r="BE86" s="161">
        <f t="shared" si="10"/>
        <v>22.151898734177216</v>
      </c>
      <c r="BF86" s="161">
        <f t="shared" si="10"/>
        <v>26.10759493670886</v>
      </c>
      <c r="BG86" s="161">
        <f t="shared" si="10"/>
        <v>30.063291139240505</v>
      </c>
      <c r="BH86" s="161">
        <f t="shared" si="10"/>
        <v>34.018987341772153</v>
      </c>
      <c r="BI86" s="161">
        <f t="shared" si="10"/>
        <v>37.974683544303794</v>
      </c>
    </row>
    <row r="87" spans="21:61" x14ac:dyDescent="0.25">
      <c r="U87" s="160">
        <f t="shared" si="6"/>
        <v>16</v>
      </c>
      <c r="V87" s="161">
        <f t="shared" si="7"/>
        <v>1.1348314851647046</v>
      </c>
      <c r="W87" s="161">
        <f t="shared" si="7"/>
        <v>2.2738115119614086</v>
      </c>
      <c r="X87" s="161">
        <f t="shared" si="7"/>
        <v>3.4169628704427226</v>
      </c>
      <c r="Y87" s="161">
        <f t="shared" si="7"/>
        <v>4.5643085178973166</v>
      </c>
      <c r="Z87" s="161">
        <f t="shared" si="7"/>
        <v>5.7158715803867457</v>
      </c>
      <c r="AA87" s="161">
        <f t="shared" si="7"/>
        <v>6.8716753542992333</v>
      </c>
      <c r="AB87" s="161">
        <f t="shared" si="7"/>
        <v>8.0317433079206761</v>
      </c>
      <c r="AC87" s="161">
        <f t="shared" si="7"/>
        <v>9.1960990830230429</v>
      </c>
      <c r="AD87" s="161">
        <f t="shared" si="7"/>
        <v>10.364766496470443</v>
      </c>
      <c r="AE87" s="161">
        <f t="shared" si="7"/>
        <v>11.53776954184306</v>
      </c>
      <c r="AF87" s="161">
        <f t="shared" si="8"/>
        <v>-52.19308460545551</v>
      </c>
      <c r="AG87" s="161">
        <f t="shared" si="8"/>
        <v>-44.595659066861685</v>
      </c>
      <c r="AH87" s="161">
        <f t="shared" si="8"/>
        <v>-36.998233528267747</v>
      </c>
      <c r="AI87" s="161">
        <f t="shared" si="8"/>
        <v>-29.400807989673808</v>
      </c>
      <c r="AJ87" s="161">
        <f t="shared" si="8"/>
        <v>-21.803382451079869</v>
      </c>
      <c r="AK87" s="161">
        <f t="shared" si="8"/>
        <v>-14.205956912485931</v>
      </c>
      <c r="AL87" s="161">
        <f t="shared" si="8"/>
        <v>-6.6085313738919922</v>
      </c>
      <c r="AM87" s="161">
        <f t="shared" si="8"/>
        <v>0.98889416470194647</v>
      </c>
      <c r="AN87" s="161">
        <f t="shared" si="8"/>
        <v>8.5863197032958851</v>
      </c>
      <c r="AO87" s="161">
        <f t="shared" si="8"/>
        <v>16.183745241889937</v>
      </c>
      <c r="AP87" s="161">
        <f t="shared" si="9"/>
        <v>23.781170780483762</v>
      </c>
      <c r="AQ87" s="161">
        <f t="shared" si="9"/>
        <v>31.378596319077701</v>
      </c>
      <c r="AR87" s="161">
        <f t="shared" si="9"/>
        <v>38.97602185767164</v>
      </c>
      <c r="AS87" s="161">
        <f t="shared" si="9"/>
        <v>46.573447396265578</v>
      </c>
      <c r="AT87" s="161">
        <f t="shared" si="9"/>
        <v>54.170872934859517</v>
      </c>
      <c r="AU87" s="161">
        <f t="shared" si="9"/>
        <v>61.768298473453456</v>
      </c>
      <c r="AV87" s="161">
        <f t="shared" si="9"/>
        <v>69.365724012047394</v>
      </c>
      <c r="AW87" s="161">
        <f t="shared" si="9"/>
        <v>76.963149550641333</v>
      </c>
      <c r="AX87" s="161">
        <f t="shared" si="10"/>
        <v>-6.3191153238546605</v>
      </c>
      <c r="AY87" s="161">
        <f t="shared" si="10"/>
        <v>-2.3696682464454977</v>
      </c>
      <c r="AZ87" s="161">
        <f t="shared" si="10"/>
        <v>1.5797788309636651</v>
      </c>
      <c r="BA87" s="161">
        <f t="shared" si="10"/>
        <v>5.5292259083728279</v>
      </c>
      <c r="BB87" s="161">
        <f t="shared" si="10"/>
        <v>9.4786729857819907</v>
      </c>
      <c r="BC87" s="161">
        <f t="shared" si="10"/>
        <v>13.428120063191153</v>
      </c>
      <c r="BD87" s="161">
        <f t="shared" si="10"/>
        <v>17.377567140600316</v>
      </c>
      <c r="BE87" s="161">
        <f t="shared" si="10"/>
        <v>21.327014218009477</v>
      </c>
      <c r="BF87" s="161">
        <f t="shared" si="10"/>
        <v>25.276461295418642</v>
      </c>
      <c r="BG87" s="161">
        <f t="shared" si="10"/>
        <v>29.225908372827803</v>
      </c>
      <c r="BH87" s="161">
        <f t="shared" si="10"/>
        <v>33.175355450236964</v>
      </c>
      <c r="BI87" s="161">
        <f t="shared" si="10"/>
        <v>37.124802527646132</v>
      </c>
    </row>
    <row r="88" spans="21:61" x14ac:dyDescent="0.25">
      <c r="U88" s="160">
        <f t="shared" si="6"/>
        <v>18</v>
      </c>
      <c r="V88" s="161">
        <f t="shared" si="7"/>
        <v>1.2889099330534308</v>
      </c>
      <c r="W88" s="161">
        <f t="shared" si="7"/>
        <v>2.5831727229902293</v>
      </c>
      <c r="X88" s="161">
        <f t="shared" si="7"/>
        <v>3.8828217849057625</v>
      </c>
      <c r="Y88" s="161">
        <f t="shared" si="7"/>
        <v>5.1878908125993624</v>
      </c>
      <c r="Z88" s="161">
        <f t="shared" si="7"/>
        <v>6.4984137814861169</v>
      </c>
      <c r="AA88" s="161">
        <f t="shared" si="7"/>
        <v>7.8144249515452406</v>
      </c>
      <c r="AB88" s="161">
        <f t="shared" si="7"/>
        <v>9.1359588703055685</v>
      </c>
      <c r="AC88" s="161">
        <f t="shared" si="7"/>
        <v>10.463050375868715</v>
      </c>
      <c r="AD88" s="161">
        <f t="shared" si="7"/>
        <v>11.795734599970446</v>
      </c>
      <c r="AE88" s="161">
        <f t="shared" si="7"/>
        <v>13.134046971080847</v>
      </c>
      <c r="AF88" s="161">
        <f t="shared" si="8"/>
        <v>-56.107265717559585</v>
      </c>
      <c r="AG88" s="161">
        <f t="shared" si="8"/>
        <v>-48.562029260460463</v>
      </c>
      <c r="AH88" s="161">
        <f t="shared" si="8"/>
        <v>-41.016792803361227</v>
      </c>
      <c r="AI88" s="161">
        <f t="shared" si="8"/>
        <v>-33.471556346261991</v>
      </c>
      <c r="AJ88" s="161">
        <f t="shared" si="8"/>
        <v>-25.926319889162755</v>
      </c>
      <c r="AK88" s="161">
        <f t="shared" si="8"/>
        <v>-18.381083432063633</v>
      </c>
      <c r="AL88" s="161">
        <f t="shared" si="8"/>
        <v>-10.835846974964397</v>
      </c>
      <c r="AM88" s="161">
        <f t="shared" si="8"/>
        <v>-3.2906105178651615</v>
      </c>
      <c r="AN88" s="161">
        <f t="shared" si="8"/>
        <v>4.2546259392339607</v>
      </c>
      <c r="AO88" s="161">
        <f t="shared" si="8"/>
        <v>11.79986239633331</v>
      </c>
      <c r="AP88" s="161">
        <f t="shared" si="9"/>
        <v>19.345098853432546</v>
      </c>
      <c r="AQ88" s="161">
        <f t="shared" si="9"/>
        <v>26.890335310531782</v>
      </c>
      <c r="AR88" s="161">
        <f t="shared" si="9"/>
        <v>34.435571767630904</v>
      </c>
      <c r="AS88" s="161">
        <f t="shared" si="9"/>
        <v>41.98080822473014</v>
      </c>
      <c r="AT88" s="161">
        <f t="shared" si="9"/>
        <v>49.526044681829376</v>
      </c>
      <c r="AU88" s="161">
        <f t="shared" si="9"/>
        <v>57.071281138928612</v>
      </c>
      <c r="AV88" s="161">
        <f t="shared" si="9"/>
        <v>64.616517596027734</v>
      </c>
      <c r="AW88" s="161">
        <f t="shared" si="9"/>
        <v>72.16175405312697</v>
      </c>
      <c r="AX88" s="161">
        <f t="shared" si="10"/>
        <v>-7.0977917981072558</v>
      </c>
      <c r="AY88" s="161">
        <f t="shared" si="10"/>
        <v>-3.1545741324921135</v>
      </c>
      <c r="AZ88" s="161">
        <f t="shared" si="10"/>
        <v>0.78864353312302837</v>
      </c>
      <c r="BA88" s="161">
        <f t="shared" si="10"/>
        <v>4.7318611987381702</v>
      </c>
      <c r="BB88" s="161">
        <f t="shared" si="10"/>
        <v>8.6750788643533117</v>
      </c>
      <c r="BC88" s="161">
        <f t="shared" si="10"/>
        <v>12.618296529968454</v>
      </c>
      <c r="BD88" s="161">
        <f t="shared" si="10"/>
        <v>16.561514195583594</v>
      </c>
      <c r="BE88" s="161">
        <f t="shared" si="10"/>
        <v>20.504731861198739</v>
      </c>
      <c r="BF88" s="161">
        <f t="shared" si="10"/>
        <v>24.447949526813879</v>
      </c>
      <c r="BG88" s="161">
        <f t="shared" si="10"/>
        <v>28.391167192429023</v>
      </c>
      <c r="BH88" s="161">
        <f t="shared" si="10"/>
        <v>32.33438485804416</v>
      </c>
      <c r="BI88" s="161">
        <f t="shared" si="10"/>
        <v>36.277602523659304</v>
      </c>
    </row>
    <row r="89" spans="21:61" x14ac:dyDescent="0.25">
      <c r="U89" s="160">
        <f t="shared" si="6"/>
        <v>20</v>
      </c>
      <c r="V89" s="161">
        <f t="shared" si="7"/>
        <v>1.4609965483706904</v>
      </c>
      <c r="W89" s="161">
        <f t="shared" si="7"/>
        <v>2.9288726350217411</v>
      </c>
      <c r="X89" s="161">
        <f t="shared" si="7"/>
        <v>4.4036769661657944</v>
      </c>
      <c r="Y89" s="161">
        <f t="shared" si="7"/>
        <v>5.8854587088810906</v>
      </c>
      <c r="Z89" s="161">
        <f t="shared" si="7"/>
        <v>7.3742674965753734</v>
      </c>
      <c r="AA89" s="161">
        <f t="shared" si="7"/>
        <v>8.8701534345277064</v>
      </c>
      <c r="AB89" s="161">
        <f t="shared" si="7"/>
        <v>10.373167105509511</v>
      </c>
      <c r="AC89" s="161">
        <f t="shared" si="7"/>
        <v>11.883359575486153</v>
      </c>
      <c r="AD89" s="161">
        <f t="shared" si="7"/>
        <v>13.400782399400404</v>
      </c>
      <c r="AE89" s="161">
        <f t="shared" si="7"/>
        <v>14.925487627039193</v>
      </c>
      <c r="AF89" s="161">
        <f t="shared" si="8"/>
        <v>-59.968038252319616</v>
      </c>
      <c r="AG89" s="161">
        <f t="shared" si="8"/>
        <v>-52.474278762350536</v>
      </c>
      <c r="AH89" s="161">
        <f t="shared" si="8"/>
        <v>-44.980519272381457</v>
      </c>
      <c r="AI89" s="161">
        <f t="shared" si="8"/>
        <v>-37.486759782412378</v>
      </c>
      <c r="AJ89" s="161">
        <f t="shared" si="8"/>
        <v>-29.993000292443298</v>
      </c>
      <c r="AK89" s="161">
        <f t="shared" si="8"/>
        <v>-22.499240802474219</v>
      </c>
      <c r="AL89" s="161">
        <f t="shared" si="8"/>
        <v>-15.00548131250514</v>
      </c>
      <c r="AM89" s="161">
        <f t="shared" si="8"/>
        <v>-7.5117218225360602</v>
      </c>
      <c r="AN89" s="161">
        <f t="shared" si="8"/>
        <v>-1.7962332566980876E-2</v>
      </c>
      <c r="AO89" s="161">
        <f t="shared" si="8"/>
        <v>7.4757971574020985</v>
      </c>
      <c r="AP89" s="161">
        <f t="shared" si="9"/>
        <v>14.969556647371178</v>
      </c>
      <c r="AQ89" s="161">
        <f t="shared" si="9"/>
        <v>22.463316137340257</v>
      </c>
      <c r="AR89" s="161">
        <f t="shared" si="9"/>
        <v>29.957075627309337</v>
      </c>
      <c r="AS89" s="161">
        <f t="shared" si="9"/>
        <v>37.450835117278416</v>
      </c>
      <c r="AT89" s="161">
        <f t="shared" si="9"/>
        <v>44.944594607247495</v>
      </c>
      <c r="AU89" s="161">
        <f t="shared" si="9"/>
        <v>52.438354097216575</v>
      </c>
      <c r="AV89" s="161">
        <f t="shared" si="9"/>
        <v>59.932113587185654</v>
      </c>
      <c r="AW89" s="161">
        <f t="shared" si="9"/>
        <v>67.425873077154733</v>
      </c>
      <c r="AX89" s="161">
        <f t="shared" si="10"/>
        <v>-7.8740157480314963</v>
      </c>
      <c r="AY89" s="161">
        <f t="shared" si="10"/>
        <v>-3.9370078740157481</v>
      </c>
      <c r="AZ89" s="161">
        <f t="shared" si="10"/>
        <v>0</v>
      </c>
      <c r="BA89" s="161">
        <f t="shared" si="10"/>
        <v>3.9370078740157481</v>
      </c>
      <c r="BB89" s="161">
        <f t="shared" si="10"/>
        <v>7.8740157480314963</v>
      </c>
      <c r="BC89" s="161">
        <f t="shared" si="10"/>
        <v>11.811023622047244</v>
      </c>
      <c r="BD89" s="161">
        <f t="shared" si="10"/>
        <v>15.748031496062993</v>
      </c>
      <c r="BE89" s="161">
        <f t="shared" si="10"/>
        <v>19.685039370078741</v>
      </c>
      <c r="BF89" s="161">
        <f t="shared" si="10"/>
        <v>23.622047244094489</v>
      </c>
      <c r="BG89" s="161">
        <f t="shared" si="10"/>
        <v>27.559055118110237</v>
      </c>
      <c r="BH89" s="161">
        <f t="shared" si="10"/>
        <v>31.496062992125985</v>
      </c>
      <c r="BI89" s="161">
        <f t="shared" si="10"/>
        <v>35.433070866141733</v>
      </c>
    </row>
    <row r="90" spans="21:61" x14ac:dyDescent="0.25">
      <c r="U90" s="160">
        <f t="shared" si="6"/>
        <v>22</v>
      </c>
      <c r="V90" s="161">
        <f t="shared" si="7"/>
        <v>1.6528490555757087</v>
      </c>
      <c r="W90" s="161">
        <f t="shared" si="7"/>
        <v>3.3145057924516652</v>
      </c>
      <c r="X90" s="161">
        <f t="shared" si="7"/>
        <v>4.9850408000983446</v>
      </c>
      <c r="Y90" s="161">
        <f t="shared" si="7"/>
        <v>6.6645254243291827</v>
      </c>
      <c r="Z90" s="161">
        <f t="shared" si="7"/>
        <v>8.3530317774577387</v>
      </c>
      <c r="AA90" s="161">
        <f t="shared" si="7"/>
        <v>10.050632748618989</v>
      </c>
      <c r="AB90" s="161">
        <f t="shared" si="7"/>
        <v>11.75740201425784</v>
      </c>
      <c r="AC90" s="161">
        <f t="shared" si="7"/>
        <v>13.473414048788047</v>
      </c>
      <c r="AD90" s="161">
        <f t="shared" si="7"/>
        <v>15.198744135424771</v>
      </c>
      <c r="AE90" s="161">
        <f t="shared" si="7"/>
        <v>16.93346837719406</v>
      </c>
      <c r="AF90" s="161">
        <f t="shared" si="8"/>
        <v>-63.776487933821841</v>
      </c>
      <c r="AG90" s="161">
        <f t="shared" si="8"/>
        <v>-56.33350777293947</v>
      </c>
      <c r="AH90" s="161">
        <f t="shared" si="8"/>
        <v>-48.890527612056985</v>
      </c>
      <c r="AI90" s="161">
        <f t="shared" si="8"/>
        <v>-41.447547451174614</v>
      </c>
      <c r="AJ90" s="161">
        <f t="shared" si="8"/>
        <v>-34.004567290292243</v>
      </c>
      <c r="AK90" s="161">
        <f t="shared" si="8"/>
        <v>-26.561587129409872</v>
      </c>
      <c r="AL90" s="161">
        <f t="shared" si="8"/>
        <v>-19.118606968527502</v>
      </c>
      <c r="AM90" s="161">
        <f t="shared" si="8"/>
        <v>-11.675626807645131</v>
      </c>
      <c r="AN90" s="161">
        <f t="shared" si="8"/>
        <v>-4.2326466467627597</v>
      </c>
      <c r="AO90" s="161">
        <f t="shared" si="8"/>
        <v>3.2103335141197249</v>
      </c>
      <c r="AP90" s="161">
        <f t="shared" si="9"/>
        <v>10.653313675002096</v>
      </c>
      <c r="AQ90" s="161">
        <f t="shared" si="9"/>
        <v>18.096293835884467</v>
      </c>
      <c r="AR90" s="161">
        <f t="shared" si="9"/>
        <v>25.539273996766838</v>
      </c>
      <c r="AS90" s="161">
        <f t="shared" si="9"/>
        <v>32.982254157649209</v>
      </c>
      <c r="AT90" s="161">
        <f t="shared" si="9"/>
        <v>40.425234318531579</v>
      </c>
      <c r="AU90" s="161">
        <f t="shared" si="9"/>
        <v>47.86821447941395</v>
      </c>
      <c r="AV90" s="161">
        <f t="shared" si="9"/>
        <v>55.311194640296321</v>
      </c>
      <c r="AW90" s="161">
        <f t="shared" si="9"/>
        <v>62.754174801178692</v>
      </c>
      <c r="AX90" s="161">
        <f t="shared" si="10"/>
        <v>-8.6477987421383649</v>
      </c>
      <c r="AY90" s="161">
        <f t="shared" si="10"/>
        <v>-4.716981132075472</v>
      </c>
      <c r="AZ90" s="161">
        <f t="shared" si="10"/>
        <v>-0.78616352201257855</v>
      </c>
      <c r="BA90" s="161">
        <f t="shared" si="10"/>
        <v>3.1446540880503142</v>
      </c>
      <c r="BB90" s="161">
        <f t="shared" si="10"/>
        <v>7.0754716981132075</v>
      </c>
      <c r="BC90" s="161">
        <f t="shared" si="10"/>
        <v>11.0062893081761</v>
      </c>
      <c r="BD90" s="161">
        <f t="shared" si="10"/>
        <v>14.937106918238994</v>
      </c>
      <c r="BE90" s="161">
        <f t="shared" si="10"/>
        <v>18.867924528301888</v>
      </c>
      <c r="BF90" s="161">
        <f t="shared" si="10"/>
        <v>22.79874213836478</v>
      </c>
      <c r="BG90" s="161">
        <f t="shared" si="10"/>
        <v>26.729559748427672</v>
      </c>
      <c r="BH90" s="161">
        <f t="shared" si="10"/>
        <v>30.660377358490564</v>
      </c>
      <c r="BI90" s="161">
        <f t="shared" si="10"/>
        <v>34.591194968553459</v>
      </c>
    </row>
    <row r="91" spans="21:61" x14ac:dyDescent="0.25">
      <c r="U91" s="160">
        <f t="shared" si="6"/>
        <v>24</v>
      </c>
      <c r="V91" s="161">
        <f t="shared" si="7"/>
        <v>1.8663624409859305</v>
      </c>
      <c r="W91" s="161">
        <f t="shared" si="7"/>
        <v>3.7439589404075044</v>
      </c>
      <c r="X91" s="161">
        <f t="shared" si="7"/>
        <v>5.6328912349677678</v>
      </c>
      <c r="Y91" s="161">
        <f t="shared" si="7"/>
        <v>7.5332622935390114</v>
      </c>
      <c r="Z91" s="161">
        <f t="shared" si="7"/>
        <v>9.4451763358734677</v>
      </c>
      <c r="AA91" s="161">
        <f t="shared" si="7"/>
        <v>11.368738851656001</v>
      </c>
      <c r="AB91" s="161">
        <f t="shared" si="7"/>
        <v>13.304056619906108</v>
      </c>
      <c r="AC91" s="161">
        <f t="shared" si="7"/>
        <v>15.25123772873669</v>
      </c>
      <c r="AD91" s="161">
        <f t="shared" si="7"/>
        <v>17.210391595477347</v>
      </c>
      <c r="AE91" s="161">
        <f t="shared" si="7"/>
        <v>19.181628987169962</v>
      </c>
      <c r="AF91" s="161">
        <f t="shared" si="8"/>
        <v>-67.533671255821901</v>
      </c>
      <c r="AG91" s="161">
        <f t="shared" si="8"/>
        <v>-60.140786872566196</v>
      </c>
      <c r="AH91" s="161">
        <f t="shared" si="8"/>
        <v>-52.747902489310491</v>
      </c>
      <c r="AI91" s="161">
        <f t="shared" si="8"/>
        <v>-45.355018106054786</v>
      </c>
      <c r="AJ91" s="161">
        <f t="shared" si="8"/>
        <v>-37.962133722799081</v>
      </c>
      <c r="AK91" s="161">
        <f t="shared" si="8"/>
        <v>-30.569249339543376</v>
      </c>
      <c r="AL91" s="161">
        <f t="shared" si="8"/>
        <v>-23.176364956287671</v>
      </c>
      <c r="AM91" s="161">
        <f t="shared" si="8"/>
        <v>-15.783480573031966</v>
      </c>
      <c r="AN91" s="161">
        <f t="shared" si="8"/>
        <v>-8.3905961897762609</v>
      </c>
      <c r="AO91" s="161">
        <f t="shared" si="8"/>
        <v>-0.99771180652044222</v>
      </c>
      <c r="AP91" s="161">
        <f t="shared" si="9"/>
        <v>6.3951725767352627</v>
      </c>
      <c r="AQ91" s="161">
        <f t="shared" si="9"/>
        <v>13.788056959990968</v>
      </c>
      <c r="AR91" s="161">
        <f t="shared" si="9"/>
        <v>21.180941343246673</v>
      </c>
      <c r="AS91" s="161">
        <f t="shared" si="9"/>
        <v>28.573825726502378</v>
      </c>
      <c r="AT91" s="161">
        <f t="shared" si="9"/>
        <v>35.966710109758083</v>
      </c>
      <c r="AU91" s="161">
        <f t="shared" si="9"/>
        <v>43.359594493013788</v>
      </c>
      <c r="AV91" s="161">
        <f t="shared" si="9"/>
        <v>50.752478876269493</v>
      </c>
      <c r="AW91" s="161">
        <f t="shared" si="9"/>
        <v>58.145363259525197</v>
      </c>
      <c r="AX91" s="161">
        <f t="shared" si="10"/>
        <v>-9.419152276295133</v>
      </c>
      <c r="AY91" s="161">
        <f t="shared" si="10"/>
        <v>-5.4945054945054945</v>
      </c>
      <c r="AZ91" s="161">
        <f t="shared" si="10"/>
        <v>-1.5698587127158556</v>
      </c>
      <c r="BA91" s="161">
        <f t="shared" si="10"/>
        <v>2.3547880690737832</v>
      </c>
      <c r="BB91" s="161">
        <f t="shared" si="10"/>
        <v>6.2794348508634226</v>
      </c>
      <c r="BC91" s="161">
        <f t="shared" si="10"/>
        <v>10.204081632653061</v>
      </c>
      <c r="BD91" s="161">
        <f t="shared" si="10"/>
        <v>14.128728414442699</v>
      </c>
      <c r="BE91" s="161">
        <f t="shared" si="10"/>
        <v>18.053375196232338</v>
      </c>
      <c r="BF91" s="161">
        <f t="shared" si="10"/>
        <v>21.978021978021978</v>
      </c>
      <c r="BG91" s="161">
        <f t="shared" si="10"/>
        <v>25.902668759811615</v>
      </c>
      <c r="BH91" s="161">
        <f t="shared" si="10"/>
        <v>29.827315541601255</v>
      </c>
      <c r="BI91" s="161">
        <f t="shared" si="10"/>
        <v>33.751962323390892</v>
      </c>
    </row>
    <row r="92" spans="21:61" x14ac:dyDescent="0.25">
      <c r="U92" s="160">
        <f t="shared" si="6"/>
        <v>26</v>
      </c>
      <c r="V92" s="161">
        <f t="shared" si="7"/>
        <v>2.103577143868165</v>
      </c>
      <c r="W92" s="161">
        <f t="shared" si="7"/>
        <v>4.2214309850588165</v>
      </c>
      <c r="X92" s="161">
        <f t="shared" si="7"/>
        <v>6.3537073595154387</v>
      </c>
      <c r="Y92" s="161">
        <f t="shared" si="7"/>
        <v>8.5005540962463506</v>
      </c>
      <c r="Z92" s="161">
        <f t="shared" si="7"/>
        <v>10.662121051489173</v>
      </c>
      <c r="AA92" s="161">
        <f t="shared" si="7"/>
        <v>12.838560143580473</v>
      </c>
      <c r="AB92" s="161">
        <f t="shared" si="7"/>
        <v>15.030025388547639</v>
      </c>
      <c r="AC92" s="161">
        <f t="shared" si="7"/>
        <v>17.236672936440481</v>
      </c>
      <c r="AD92" s="161">
        <f t="shared" si="7"/>
        <v>19.458661108420554</v>
      </c>
      <c r="AE92" s="161">
        <f t="shared" si="7"/>
        <v>21.696150434626755</v>
      </c>
      <c r="AF92" s="161">
        <f t="shared" si="8"/>
        <v>-71.240616458858426</v>
      </c>
      <c r="AG92" s="161">
        <f t="shared" si="8"/>
        <v>-63.897158011643114</v>
      </c>
      <c r="AH92" s="161">
        <f t="shared" si="8"/>
        <v>-56.553699564427916</v>
      </c>
      <c r="AI92" s="161">
        <f t="shared" si="8"/>
        <v>-49.210241117212718</v>
      </c>
      <c r="AJ92" s="161">
        <f t="shared" si="8"/>
        <v>-41.866782669997519</v>
      </c>
      <c r="AK92" s="161">
        <f t="shared" si="8"/>
        <v>-34.523324222782321</v>
      </c>
      <c r="AL92" s="161">
        <f t="shared" si="8"/>
        <v>-27.179865775567009</v>
      </c>
      <c r="AM92" s="161">
        <f t="shared" si="8"/>
        <v>-19.836407328351811</v>
      </c>
      <c r="AN92" s="161">
        <f t="shared" si="8"/>
        <v>-12.492948881136613</v>
      </c>
      <c r="AO92" s="161">
        <f t="shared" si="8"/>
        <v>-5.1494904339213008</v>
      </c>
      <c r="AP92" s="161">
        <f t="shared" si="9"/>
        <v>2.1939680132938975</v>
      </c>
      <c r="AQ92" s="161">
        <f t="shared" si="9"/>
        <v>9.5374264605092094</v>
      </c>
      <c r="AR92" s="161">
        <f t="shared" si="9"/>
        <v>16.880884907724408</v>
      </c>
      <c r="AS92" s="161">
        <f t="shared" si="9"/>
        <v>24.224343354939606</v>
      </c>
      <c r="AT92" s="161">
        <f t="shared" si="9"/>
        <v>31.567801802154804</v>
      </c>
      <c r="AU92" s="161">
        <f t="shared" si="9"/>
        <v>38.911260249370002</v>
      </c>
      <c r="AV92" s="161">
        <f t="shared" si="9"/>
        <v>46.254718696585314</v>
      </c>
      <c r="AW92" s="161">
        <f t="shared" si="9"/>
        <v>53.598177143800513</v>
      </c>
      <c r="AX92" s="161">
        <f t="shared" si="10"/>
        <v>-10.18808777429467</v>
      </c>
      <c r="AY92" s="161">
        <f t="shared" si="10"/>
        <v>-6.2695924764890281</v>
      </c>
      <c r="AZ92" s="161">
        <f t="shared" si="10"/>
        <v>-2.3510971786833856</v>
      </c>
      <c r="BA92" s="161">
        <f t="shared" si="10"/>
        <v>1.567398119122257</v>
      </c>
      <c r="BB92" s="161">
        <f t="shared" si="10"/>
        <v>5.4858934169278992</v>
      </c>
      <c r="BC92" s="161">
        <f t="shared" si="10"/>
        <v>9.4043887147335425</v>
      </c>
      <c r="BD92" s="161">
        <f t="shared" si="10"/>
        <v>13.322884012539184</v>
      </c>
      <c r="BE92" s="161">
        <f t="shared" si="10"/>
        <v>17.241379310344826</v>
      </c>
      <c r="BF92" s="161">
        <f t="shared" si="10"/>
        <v>21.159874608150471</v>
      </c>
      <c r="BG92" s="161">
        <f t="shared" si="10"/>
        <v>25.078369905956112</v>
      </c>
      <c r="BH92" s="161">
        <f t="shared" si="10"/>
        <v>28.996865203761754</v>
      </c>
      <c r="BI92" s="161">
        <f t="shared" si="10"/>
        <v>32.915360501567399</v>
      </c>
    </row>
    <row r="93" spans="21:61" x14ac:dyDescent="0.25">
      <c r="U93" s="160">
        <f t="shared" si="6"/>
        <v>28</v>
      </c>
      <c r="V93" s="161">
        <f t="shared" si="7"/>
        <v>2.3666876611018148</v>
      </c>
      <c r="W93" s="161">
        <f t="shared" si="7"/>
        <v>4.7514544356846953</v>
      </c>
      <c r="X93" s="161">
        <f t="shared" si="7"/>
        <v>7.1545082773934121</v>
      </c>
      <c r="Y93" s="161">
        <f t="shared" si="7"/>
        <v>9.5760603414429166</v>
      </c>
      <c r="Z93" s="161">
        <f t="shared" si="7"/>
        <v>12.016325046468991</v>
      </c>
      <c r="AA93" s="161">
        <f t="shared" si="7"/>
        <v>14.475520137818329</v>
      </c>
      <c r="AB93" s="161">
        <f t="shared" si="7"/>
        <v>16.953866752317275</v>
      </c>
      <c r="AC93" s="161">
        <f t="shared" si="7"/>
        <v>19.451589484559658</v>
      </c>
      <c r="AD93" s="161">
        <f t="shared" si="7"/>
        <v>21.968916454755519</v>
      </c>
      <c r="AE93" s="161">
        <f t="shared" si="7"/>
        <v>24.506079378183681</v>
      </c>
      <c r="AF93" s="161">
        <f t="shared" si="8"/>
        <v>-74.898324468429337</v>
      </c>
      <c r="AG93" s="161">
        <f t="shared" si="8"/>
        <v>-67.603635461341696</v>
      </c>
      <c r="AH93" s="161">
        <f t="shared" si="8"/>
        <v>-60.308946454254169</v>
      </c>
      <c r="AI93" s="161">
        <f t="shared" si="8"/>
        <v>-53.014257447166528</v>
      </c>
      <c r="AJ93" s="161">
        <f t="shared" si="8"/>
        <v>-45.719568440078888</v>
      </c>
      <c r="AK93" s="161">
        <f t="shared" si="8"/>
        <v>-38.424879432991247</v>
      </c>
      <c r="AL93" s="161">
        <f t="shared" si="8"/>
        <v>-31.13019042590372</v>
      </c>
      <c r="AM93" s="161">
        <f t="shared" si="8"/>
        <v>-23.835501418816079</v>
      </c>
      <c r="AN93" s="161">
        <f t="shared" si="8"/>
        <v>-16.540812411728439</v>
      </c>
      <c r="AO93" s="161">
        <f t="shared" si="8"/>
        <v>-9.2461234046407981</v>
      </c>
      <c r="AP93" s="161">
        <f t="shared" si="9"/>
        <v>-1.9514343975531574</v>
      </c>
      <c r="AQ93" s="161">
        <f t="shared" si="9"/>
        <v>5.3432546095344833</v>
      </c>
      <c r="AR93" s="161">
        <f t="shared" si="9"/>
        <v>12.637943616622124</v>
      </c>
      <c r="AS93" s="161">
        <f t="shared" si="9"/>
        <v>19.932632623709651</v>
      </c>
      <c r="AT93" s="161">
        <f t="shared" si="9"/>
        <v>27.227321630797292</v>
      </c>
      <c r="AU93" s="161">
        <f t="shared" si="9"/>
        <v>34.522010637884932</v>
      </c>
      <c r="AV93" s="161">
        <f t="shared" si="9"/>
        <v>41.816699644972459</v>
      </c>
      <c r="AW93" s="161">
        <f t="shared" si="9"/>
        <v>49.1113886520601</v>
      </c>
      <c r="AX93" s="161">
        <f t="shared" si="10"/>
        <v>-10.954616588419405</v>
      </c>
      <c r="AY93" s="161">
        <f t="shared" si="10"/>
        <v>-7.0422535211267601</v>
      </c>
      <c r="AZ93" s="161">
        <f t="shared" si="10"/>
        <v>-3.1298904538341157</v>
      </c>
      <c r="BA93" s="161">
        <f t="shared" si="10"/>
        <v>0.78247261345852892</v>
      </c>
      <c r="BB93" s="161">
        <f t="shared" si="10"/>
        <v>4.694835680751174</v>
      </c>
      <c r="BC93" s="161">
        <f t="shared" si="10"/>
        <v>8.6071987480438175</v>
      </c>
      <c r="BD93" s="161">
        <f t="shared" si="10"/>
        <v>12.519561815336463</v>
      </c>
      <c r="BE93" s="161">
        <f t="shared" si="10"/>
        <v>16.431924882629108</v>
      </c>
      <c r="BF93" s="161">
        <f t="shared" si="10"/>
        <v>20.344287949921753</v>
      </c>
      <c r="BG93" s="161">
        <f t="shared" si="10"/>
        <v>24.256651017214399</v>
      </c>
      <c r="BH93" s="161">
        <f t="shared" si="10"/>
        <v>28.16901408450704</v>
      </c>
      <c r="BI93" s="161">
        <f t="shared" si="10"/>
        <v>32.081377151799686</v>
      </c>
    </row>
    <row r="94" spans="21:61" x14ac:dyDescent="0.25">
      <c r="U94" s="160">
        <f t="shared" si="6"/>
        <v>30</v>
      </c>
      <c r="V94" s="161">
        <f t="shared" ref="V94:AE99" si="11">622*f*EXP(LN(140974)-3928.5/(231.667+t))/(100-f*EXP(LN(140974)-3928.5/(231.667+t)))</f>
        <v>2.6580516018540115</v>
      </c>
      <c r="W94" s="161">
        <f t="shared" si="11"/>
        <v>5.3389185106201165</v>
      </c>
      <c r="X94" s="161">
        <f t="shared" si="11"/>
        <v>8.0428957442000275</v>
      </c>
      <c r="Y94" s="161">
        <f t="shared" si="11"/>
        <v>10.770283428898061</v>
      </c>
      <c r="Z94" s="161">
        <f t="shared" si="11"/>
        <v>13.521386910470468</v>
      </c>
      <c r="AA94" s="161">
        <f t="shared" si="11"/>
        <v>16.296516868084296</v>
      </c>
      <c r="AB94" s="161">
        <f t="shared" si="11"/>
        <v>19.095989431275072</v>
      </c>
      <c r="AC94" s="161">
        <f t="shared" si="11"/>
        <v>21.920126299995797</v>
      </c>
      <c r="AD94" s="161">
        <f t="shared" si="11"/>
        <v>24.769254867853014</v>
      </c>
      <c r="AE94" s="161">
        <f t="shared" si="11"/>
        <v>27.643708348629069</v>
      </c>
      <c r="AF94" s="161">
        <f t="shared" ref="AF94:AO99" si="12">101325*v/(0.46124*(273.15+t))-622</f>
        <v>-78.507769796033358</v>
      </c>
      <c r="AG94" s="161">
        <f t="shared" si="12"/>
        <v>-71.26120672664706</v>
      </c>
      <c r="AH94" s="161">
        <f t="shared" si="12"/>
        <v>-64.014643657260876</v>
      </c>
      <c r="AI94" s="161">
        <f t="shared" si="12"/>
        <v>-56.768080587874692</v>
      </c>
      <c r="AJ94" s="161">
        <f t="shared" si="12"/>
        <v>-49.521517518488395</v>
      </c>
      <c r="AK94" s="161">
        <f t="shared" si="12"/>
        <v>-42.274954449102211</v>
      </c>
      <c r="AL94" s="161">
        <f t="shared" si="12"/>
        <v>-35.028391379716027</v>
      </c>
      <c r="AM94" s="161">
        <f t="shared" si="12"/>
        <v>-27.781828310329729</v>
      </c>
      <c r="AN94" s="161">
        <f t="shared" si="12"/>
        <v>-20.535265240943545</v>
      </c>
      <c r="AO94" s="161">
        <f t="shared" si="12"/>
        <v>-13.288702171557247</v>
      </c>
      <c r="AP94" s="161">
        <f t="shared" ref="AP94:AW99" si="13">101325*v/(0.46124*(273.15+t))-622</f>
        <v>-6.0421391021709496</v>
      </c>
      <c r="AQ94" s="161">
        <f t="shared" si="13"/>
        <v>1.2044239672152344</v>
      </c>
      <c r="AR94" s="161">
        <f t="shared" si="13"/>
        <v>8.4509870366014184</v>
      </c>
      <c r="AS94" s="161">
        <f t="shared" si="13"/>
        <v>15.697550105987716</v>
      </c>
      <c r="AT94" s="161">
        <f t="shared" si="13"/>
        <v>22.9441131753739</v>
      </c>
      <c r="AU94" s="161">
        <f t="shared" si="13"/>
        <v>30.190676244760084</v>
      </c>
      <c r="AV94" s="161">
        <f t="shared" si="13"/>
        <v>37.437239314146382</v>
      </c>
      <c r="AW94" s="161">
        <f t="shared" si="13"/>
        <v>44.683802383532566</v>
      </c>
      <c r="AX94" s="161">
        <f t="shared" ref="AX94:BI99" si="14">(h-t)/(0.002*t+2.5)</f>
        <v>-11.71875</v>
      </c>
      <c r="AY94" s="161">
        <f t="shared" si="14"/>
        <v>-7.8125</v>
      </c>
      <c r="AZ94" s="161">
        <f t="shared" si="14"/>
        <v>-3.90625</v>
      </c>
      <c r="BA94" s="161">
        <f t="shared" si="14"/>
        <v>0</v>
      </c>
      <c r="BB94" s="161">
        <f t="shared" si="14"/>
        <v>3.90625</v>
      </c>
      <c r="BC94" s="161">
        <f t="shared" si="14"/>
        <v>7.8125</v>
      </c>
      <c r="BD94" s="161">
        <f t="shared" si="14"/>
        <v>11.71875</v>
      </c>
      <c r="BE94" s="161">
        <f t="shared" si="14"/>
        <v>15.625</v>
      </c>
      <c r="BF94" s="161">
        <f t="shared" si="14"/>
        <v>19.53125</v>
      </c>
      <c r="BG94" s="161">
        <f t="shared" si="14"/>
        <v>23.4375</v>
      </c>
      <c r="BH94" s="161">
        <f t="shared" si="14"/>
        <v>27.34375</v>
      </c>
      <c r="BI94" s="161">
        <f t="shared" si="14"/>
        <v>31.25</v>
      </c>
    </row>
    <row r="95" spans="21:61" x14ac:dyDescent="0.25">
      <c r="U95" s="160">
        <f t="shared" si="6"/>
        <v>32</v>
      </c>
      <c r="V95" s="161">
        <f t="shared" si="11"/>
        <v>2.9801992343977224</v>
      </c>
      <c r="W95" s="161">
        <f t="shared" si="11"/>
        <v>5.9890941178383992</v>
      </c>
      <c r="X95" s="161">
        <f t="shared" si="11"/>
        <v>9.027101110973728</v>
      </c>
      <c r="Y95" s="161">
        <f t="shared" si="11"/>
        <v>12.094644772435544</v>
      </c>
      <c r="Z95" s="161">
        <f t="shared" si="11"/>
        <v>15.192157956626474</v>
      </c>
      <c r="AA95" s="161">
        <f t="shared" si="11"/>
        <v>18.320082017336247</v>
      </c>
      <c r="AB95" s="161">
        <f t="shared" si="11"/>
        <v>21.478867017384768</v>
      </c>
      <c r="AC95" s="161">
        <f t="shared" si="11"/>
        <v>24.66897194450118</v>
      </c>
      <c r="AD95" s="161">
        <f t="shared" si="11"/>
        <v>27.890864933656321</v>
      </c>
      <c r="AE95" s="161">
        <f t="shared" si="11"/>
        <v>31.145023496074828</v>
      </c>
      <c r="AF95" s="161">
        <f t="shared" si="12"/>
        <v>-82.06990140477626</v>
      </c>
      <c r="AG95" s="161">
        <f t="shared" si="12"/>
        <v>-74.87083342350661</v>
      </c>
      <c r="AH95" s="161">
        <f t="shared" si="12"/>
        <v>-67.671765442236961</v>
      </c>
      <c r="AI95" s="161">
        <f t="shared" si="12"/>
        <v>-60.472697460967311</v>
      </c>
      <c r="AJ95" s="161">
        <f t="shared" si="12"/>
        <v>-53.273629479697661</v>
      </c>
      <c r="AK95" s="161">
        <f t="shared" si="12"/>
        <v>-46.074561498428011</v>
      </c>
      <c r="AL95" s="161">
        <f t="shared" si="12"/>
        <v>-38.875493517158361</v>
      </c>
      <c r="AM95" s="161">
        <f t="shared" si="12"/>
        <v>-31.676425535888711</v>
      </c>
      <c r="AN95" s="161">
        <f t="shared" si="12"/>
        <v>-24.477357554619061</v>
      </c>
      <c r="AO95" s="161">
        <f t="shared" si="12"/>
        <v>-17.278289573349298</v>
      </c>
      <c r="AP95" s="161">
        <f t="shared" si="13"/>
        <v>-10.079221592079648</v>
      </c>
      <c r="AQ95" s="161">
        <f t="shared" si="13"/>
        <v>-2.8801536108099981</v>
      </c>
      <c r="AR95" s="161">
        <f t="shared" si="13"/>
        <v>4.3189143704596518</v>
      </c>
      <c r="AS95" s="161">
        <f t="shared" si="13"/>
        <v>11.517982351729302</v>
      </c>
      <c r="AT95" s="161">
        <f t="shared" si="13"/>
        <v>18.717050332998951</v>
      </c>
      <c r="AU95" s="161">
        <f t="shared" si="13"/>
        <v>25.916118314268601</v>
      </c>
      <c r="AV95" s="161">
        <f t="shared" si="13"/>
        <v>33.115186295538251</v>
      </c>
      <c r="AW95" s="161">
        <f t="shared" si="13"/>
        <v>40.314254276807901</v>
      </c>
      <c r="AX95" s="161">
        <f t="shared" si="14"/>
        <v>-12.480499219968799</v>
      </c>
      <c r="AY95" s="161">
        <f t="shared" si="14"/>
        <v>-8.5803432137285487</v>
      </c>
      <c r="AZ95" s="161">
        <f t="shared" si="14"/>
        <v>-4.6801872074882995</v>
      </c>
      <c r="BA95" s="161">
        <f t="shared" si="14"/>
        <v>-0.78003120124804992</v>
      </c>
      <c r="BB95" s="161">
        <f t="shared" si="14"/>
        <v>3.1201248049921997</v>
      </c>
      <c r="BC95" s="161">
        <f t="shared" si="14"/>
        <v>7.0202808112324488</v>
      </c>
      <c r="BD95" s="161">
        <f t="shared" si="14"/>
        <v>10.920436817472698</v>
      </c>
      <c r="BE95" s="161">
        <f t="shared" si="14"/>
        <v>14.820592823712948</v>
      </c>
      <c r="BF95" s="161">
        <f t="shared" si="14"/>
        <v>18.720748829953198</v>
      </c>
      <c r="BG95" s="161">
        <f t="shared" si="14"/>
        <v>22.620904836193446</v>
      </c>
      <c r="BH95" s="161">
        <f t="shared" si="14"/>
        <v>26.521060842433698</v>
      </c>
      <c r="BI95" s="161">
        <f t="shared" si="14"/>
        <v>30.421216848673946</v>
      </c>
    </row>
    <row r="96" spans="21:61" x14ac:dyDescent="0.25">
      <c r="U96" s="160">
        <f t="shared" si="6"/>
        <v>34</v>
      </c>
      <c r="V96" s="161">
        <f t="shared" si="11"/>
        <v>3.3358435736465313</v>
      </c>
      <c r="W96" s="161">
        <f t="shared" si="11"/>
        <v>6.7076609538640382</v>
      </c>
      <c r="X96" s="161">
        <f t="shared" si="11"/>
        <v>10.116037208764761</v>
      </c>
      <c r="Y96" s="161">
        <f t="shared" si="11"/>
        <v>13.561570162798967</v>
      </c>
      <c r="Z96" s="161">
        <f t="shared" si="11"/>
        <v>17.044870746321088</v>
      </c>
      <c r="AA96" s="161">
        <f t="shared" si="11"/>
        <v>20.566563356714312</v>
      </c>
      <c r="AB96" s="161">
        <f t="shared" si="11"/>
        <v>24.127286231522049</v>
      </c>
      <c r="AC96" s="161">
        <f t="shared" si="11"/>
        <v>27.727691834054522</v>
      </c>
      <c r="AD96" s="161">
        <f t="shared" si="11"/>
        <v>31.368447251959886</v>
      </c>
      <c r="AE96" s="161">
        <f t="shared" si="11"/>
        <v>35.050234609271207</v>
      </c>
      <c r="AF96" s="161">
        <f t="shared" si="12"/>
        <v>-85.585643541160607</v>
      </c>
      <c r="AG96" s="161">
        <f t="shared" si="12"/>
        <v>-78.433452121709479</v>
      </c>
      <c r="AH96" s="161">
        <f t="shared" si="12"/>
        <v>-71.281260702258237</v>
      </c>
      <c r="AI96" s="161">
        <f t="shared" si="12"/>
        <v>-64.129069282807109</v>
      </c>
      <c r="AJ96" s="161">
        <f t="shared" si="12"/>
        <v>-56.976877863355867</v>
      </c>
      <c r="AK96" s="161">
        <f t="shared" si="12"/>
        <v>-49.824686443904625</v>
      </c>
      <c r="AL96" s="161">
        <f t="shared" si="12"/>
        <v>-42.672495024453497</v>
      </c>
      <c r="AM96" s="161">
        <f t="shared" si="12"/>
        <v>-35.520303605002255</v>
      </c>
      <c r="AN96" s="161">
        <f t="shared" si="12"/>
        <v>-28.368112185551126</v>
      </c>
      <c r="AO96" s="161">
        <f t="shared" si="12"/>
        <v>-21.215920766099771</v>
      </c>
      <c r="AP96" s="161">
        <f t="shared" si="13"/>
        <v>-14.063729346648643</v>
      </c>
      <c r="AQ96" s="161">
        <f t="shared" si="13"/>
        <v>-6.9115379271974007</v>
      </c>
      <c r="AR96" s="161">
        <f t="shared" si="13"/>
        <v>0.24065349225372756</v>
      </c>
      <c r="AS96" s="161">
        <f t="shared" si="13"/>
        <v>7.3928449117049695</v>
      </c>
      <c r="AT96" s="161">
        <f t="shared" si="13"/>
        <v>14.545036331156211</v>
      </c>
      <c r="AU96" s="161">
        <f t="shared" si="13"/>
        <v>21.69722775060734</v>
      </c>
      <c r="AV96" s="161">
        <f t="shared" si="13"/>
        <v>28.849419170058582</v>
      </c>
      <c r="AW96" s="161">
        <f t="shared" si="13"/>
        <v>36.00161058950971</v>
      </c>
      <c r="AX96" s="161">
        <f t="shared" si="14"/>
        <v>-13.2398753894081</v>
      </c>
      <c r="AY96" s="161">
        <f t="shared" si="14"/>
        <v>-9.3457943925233646</v>
      </c>
      <c r="AZ96" s="161">
        <f t="shared" si="14"/>
        <v>-5.4517133956386292</v>
      </c>
      <c r="BA96" s="161">
        <f t="shared" si="14"/>
        <v>-1.557632398753894</v>
      </c>
      <c r="BB96" s="161">
        <f t="shared" si="14"/>
        <v>2.3364485981308412</v>
      </c>
      <c r="BC96" s="161">
        <f t="shared" si="14"/>
        <v>6.2305295950155761</v>
      </c>
      <c r="BD96" s="161">
        <f t="shared" si="14"/>
        <v>10.124610591900311</v>
      </c>
      <c r="BE96" s="161">
        <f t="shared" si="14"/>
        <v>14.018691588785046</v>
      </c>
      <c r="BF96" s="161">
        <f t="shared" si="14"/>
        <v>17.912772585669781</v>
      </c>
      <c r="BG96" s="161">
        <f t="shared" si="14"/>
        <v>21.806853582554517</v>
      </c>
      <c r="BH96" s="161">
        <f t="shared" si="14"/>
        <v>25.700934579439252</v>
      </c>
      <c r="BI96" s="161">
        <f t="shared" si="14"/>
        <v>29.595015576323988</v>
      </c>
    </row>
    <row r="97" spans="21:61" x14ac:dyDescent="0.25">
      <c r="U97" s="160">
        <f t="shared" si="6"/>
        <v>36</v>
      </c>
      <c r="V97" s="161">
        <f t="shared" si="11"/>
        <v>3.7278910652608763</v>
      </c>
      <c r="W97" s="161">
        <f t="shared" si="11"/>
        <v>7.5007370026358977</v>
      </c>
      <c r="X97" s="161">
        <f t="shared" si="11"/>
        <v>11.319355915336621</v>
      </c>
      <c r="Y97" s="161">
        <f t="shared" si="11"/>
        <v>15.184585878533564</v>
      </c>
      <c r="Z97" s="161">
        <f t="shared" si="11"/>
        <v>19.097285552555885</v>
      </c>
      <c r="AA97" s="161">
        <f t="shared" si="11"/>
        <v>23.058334818823173</v>
      </c>
      <c r="AB97" s="161">
        <f t="shared" si="11"/>
        <v>27.068635439498589</v>
      </c>
      <c r="AC97" s="161">
        <f t="shared" si="11"/>
        <v>31.129111741902143</v>
      </c>
      <c r="AD97" s="161">
        <f t="shared" si="11"/>
        <v>35.240711328775276</v>
      </c>
      <c r="AE97" s="161">
        <f t="shared" si="11"/>
        <v>39.404405815542994</v>
      </c>
      <c r="AF97" s="161">
        <f t="shared" si="12"/>
        <v>-89.055896534586736</v>
      </c>
      <c r="AG97" s="161">
        <f t="shared" si="12"/>
        <v>-81.949975155047923</v>
      </c>
      <c r="AH97" s="161">
        <f t="shared" si="12"/>
        <v>-74.84405377550911</v>
      </c>
      <c r="AI97" s="161">
        <f t="shared" si="12"/>
        <v>-67.738132395970183</v>
      </c>
      <c r="AJ97" s="161">
        <f t="shared" si="12"/>
        <v>-60.63221101643137</v>
      </c>
      <c r="AK97" s="161">
        <f t="shared" si="12"/>
        <v>-53.526289636892557</v>
      </c>
      <c r="AL97" s="161">
        <f t="shared" si="12"/>
        <v>-46.420368257353744</v>
      </c>
      <c r="AM97" s="161">
        <f t="shared" si="12"/>
        <v>-39.314446877814817</v>
      </c>
      <c r="AN97" s="161">
        <f t="shared" si="12"/>
        <v>-32.208525498276003</v>
      </c>
      <c r="AO97" s="161">
        <f t="shared" si="12"/>
        <v>-25.102604118737077</v>
      </c>
      <c r="AP97" s="161">
        <f t="shared" si="13"/>
        <v>-17.996682739198263</v>
      </c>
      <c r="AQ97" s="161">
        <f t="shared" si="13"/>
        <v>-10.890761359659336</v>
      </c>
      <c r="AR97" s="161">
        <f t="shared" si="13"/>
        <v>-3.7848399801205233</v>
      </c>
      <c r="AS97" s="161">
        <f t="shared" si="13"/>
        <v>3.3210813994182899</v>
      </c>
      <c r="AT97" s="161">
        <f t="shared" si="13"/>
        <v>10.427002778957103</v>
      </c>
      <c r="AU97" s="161">
        <f t="shared" si="13"/>
        <v>17.53292415849603</v>
      </c>
      <c r="AV97" s="161">
        <f t="shared" si="13"/>
        <v>24.638845538034843</v>
      </c>
      <c r="AW97" s="161">
        <f t="shared" si="13"/>
        <v>31.744766917573656</v>
      </c>
      <c r="AX97" s="161">
        <f t="shared" si="14"/>
        <v>-13.996889580093312</v>
      </c>
      <c r="AY97" s="161">
        <f t="shared" si="14"/>
        <v>-10.108864696734059</v>
      </c>
      <c r="AZ97" s="161">
        <f t="shared" si="14"/>
        <v>-6.2208398133748055</v>
      </c>
      <c r="BA97" s="161">
        <f t="shared" si="14"/>
        <v>-2.3328149300155521</v>
      </c>
      <c r="BB97" s="161">
        <f t="shared" si="14"/>
        <v>1.5552099533437014</v>
      </c>
      <c r="BC97" s="161">
        <f t="shared" si="14"/>
        <v>5.4432348367029544</v>
      </c>
      <c r="BD97" s="161">
        <f t="shared" si="14"/>
        <v>9.3312597200622083</v>
      </c>
      <c r="BE97" s="161">
        <f t="shared" si="14"/>
        <v>13.219284603421462</v>
      </c>
      <c r="BF97" s="161">
        <f t="shared" si="14"/>
        <v>17.107309486780714</v>
      </c>
      <c r="BG97" s="161">
        <f t="shared" si="14"/>
        <v>20.995334370139968</v>
      </c>
      <c r="BH97" s="161">
        <f t="shared" si="14"/>
        <v>24.883359253499222</v>
      </c>
      <c r="BI97" s="161">
        <f t="shared" si="14"/>
        <v>28.771384136858476</v>
      </c>
    </row>
    <row r="98" spans="21:61" x14ac:dyDescent="0.25">
      <c r="U98" s="160">
        <f t="shared" si="6"/>
        <v>38</v>
      </c>
      <c r="V98" s="161">
        <f t="shared" si="11"/>
        <v>4.1594529303984178</v>
      </c>
      <c r="W98" s="161">
        <f t="shared" si="11"/>
        <v>8.3749107596732788</v>
      </c>
      <c r="X98" s="161">
        <f t="shared" si="11"/>
        <v>12.647512270213221</v>
      </c>
      <c r="Y98" s="161">
        <f t="shared" si="11"/>
        <v>16.978427329188278</v>
      </c>
      <c r="Z98" s="161">
        <f t="shared" si="11"/>
        <v>21.368857956469945</v>
      </c>
      <c r="AA98" s="161">
        <f t="shared" si="11"/>
        <v>25.820039436881999</v>
      </c>
      <c r="AB98" s="161">
        <f t="shared" si="11"/>
        <v>30.333241478944004</v>
      </c>
      <c r="AC98" s="161">
        <f t="shared" si="11"/>
        <v>34.909769422390674</v>
      </c>
      <c r="AD98" s="161">
        <f t="shared" si="11"/>
        <v>39.550965496879421</v>
      </c>
      <c r="AE98" s="161">
        <f t="shared" si="11"/>
        <v>44.258210134435636</v>
      </c>
      <c r="AF98" s="161">
        <f t="shared" si="12"/>
        <v>-92.481537566021075</v>
      </c>
      <c r="AG98" s="161">
        <f t="shared" si="12"/>
        <v>-85.421291400234736</v>
      </c>
      <c r="AH98" s="161">
        <f t="shared" si="12"/>
        <v>-78.361045234448397</v>
      </c>
      <c r="AI98" s="161">
        <f t="shared" si="12"/>
        <v>-71.300799068661945</v>
      </c>
      <c r="AJ98" s="161">
        <f t="shared" si="12"/>
        <v>-64.240552902875606</v>
      </c>
      <c r="AK98" s="161">
        <f t="shared" si="12"/>
        <v>-57.180306737089154</v>
      </c>
      <c r="AL98" s="161">
        <f t="shared" si="12"/>
        <v>-50.120060571302815</v>
      </c>
      <c r="AM98" s="161">
        <f t="shared" si="12"/>
        <v>-43.059814405516477</v>
      </c>
      <c r="AN98" s="161">
        <f t="shared" si="12"/>
        <v>-35.999568239730024</v>
      </c>
      <c r="AO98" s="161">
        <f t="shared" si="12"/>
        <v>-28.939322073943572</v>
      </c>
      <c r="AP98" s="161">
        <f t="shared" si="13"/>
        <v>-21.87907590815712</v>
      </c>
      <c r="AQ98" s="161">
        <f t="shared" si="13"/>
        <v>-14.818829742370781</v>
      </c>
      <c r="AR98" s="161">
        <f t="shared" si="13"/>
        <v>-7.7585835765844422</v>
      </c>
      <c r="AS98" s="161">
        <f t="shared" si="13"/>
        <v>-0.69833741079798983</v>
      </c>
      <c r="AT98" s="161">
        <f t="shared" si="13"/>
        <v>6.3619087549883488</v>
      </c>
      <c r="AU98" s="161">
        <f t="shared" si="13"/>
        <v>13.422154920774801</v>
      </c>
      <c r="AV98" s="161">
        <f t="shared" si="13"/>
        <v>20.48240108656114</v>
      </c>
      <c r="AW98" s="161">
        <f t="shared" si="13"/>
        <v>27.542647252347479</v>
      </c>
      <c r="AX98" s="161">
        <f t="shared" si="14"/>
        <v>-14.751552795031056</v>
      </c>
      <c r="AY98" s="161">
        <f t="shared" si="14"/>
        <v>-10.869565217391305</v>
      </c>
      <c r="AZ98" s="161">
        <f t="shared" si="14"/>
        <v>-6.987577639751553</v>
      </c>
      <c r="BA98" s="161">
        <f t="shared" si="14"/>
        <v>-3.1055900621118013</v>
      </c>
      <c r="BB98" s="161">
        <f t="shared" si="14"/>
        <v>0.77639751552795033</v>
      </c>
      <c r="BC98" s="161">
        <f t="shared" si="14"/>
        <v>4.658385093167702</v>
      </c>
      <c r="BD98" s="161">
        <f t="shared" si="14"/>
        <v>8.5403726708074537</v>
      </c>
      <c r="BE98" s="161">
        <f t="shared" si="14"/>
        <v>12.422360248447205</v>
      </c>
      <c r="BF98" s="161">
        <f t="shared" si="14"/>
        <v>16.304347826086957</v>
      </c>
      <c r="BG98" s="161">
        <f t="shared" si="14"/>
        <v>20.186335403726709</v>
      </c>
      <c r="BH98" s="161">
        <f t="shared" si="14"/>
        <v>24.06832298136646</v>
      </c>
      <c r="BI98" s="161">
        <f t="shared" si="14"/>
        <v>27.950310559006212</v>
      </c>
    </row>
    <row r="99" spans="21:61" x14ac:dyDescent="0.25">
      <c r="U99" s="160">
        <f t="shared" si="6"/>
        <v>40</v>
      </c>
      <c r="V99" s="161">
        <f t="shared" si="11"/>
        <v>4.6338572444507733</v>
      </c>
      <c r="W99" s="161">
        <f t="shared" si="11"/>
        <v>9.3372765574209122</v>
      </c>
      <c r="X99" s="161">
        <f t="shared" si="11"/>
        <v>14.111836151954368</v>
      </c>
      <c r="Y99" s="161">
        <f t="shared" si="11"/>
        <v>18.959162346557008</v>
      </c>
      <c r="Z99" s="161">
        <f t="shared" si="11"/>
        <v>23.880931412147184</v>
      </c>
      <c r="AA99" s="161">
        <f t="shared" si="11"/>
        <v>28.878871504758401</v>
      </c>
      <c r="AB99" s="161">
        <f t="shared" si="11"/>
        <v>33.954764688675411</v>
      </c>
      <c r="AC99" s="161">
        <f t="shared" si="11"/>
        <v>39.110449054979121</v>
      </c>
      <c r="AD99" s="161">
        <f t="shared" si="11"/>
        <v>44.347820940791252</v>
      </c>
      <c r="AE99" s="161">
        <f t="shared" si="11"/>
        <v>49.668837254847602</v>
      </c>
      <c r="AF99" s="161">
        <f t="shared" si="12"/>
        <v>-95.863421407208989</v>
      </c>
      <c r="AG99" s="161">
        <f t="shared" si="12"/>
        <v>-88.848267025971722</v>
      </c>
      <c r="AH99" s="161">
        <f t="shared" si="12"/>
        <v>-81.83311264473457</v>
      </c>
      <c r="AI99" s="161">
        <f t="shared" si="12"/>
        <v>-74.817958263497303</v>
      </c>
      <c r="AJ99" s="161">
        <f t="shared" si="12"/>
        <v>-67.802803882260037</v>
      </c>
      <c r="AK99" s="161">
        <f t="shared" si="12"/>
        <v>-60.787649501022884</v>
      </c>
      <c r="AL99" s="161">
        <f t="shared" si="12"/>
        <v>-53.772495119785617</v>
      </c>
      <c r="AM99" s="161">
        <f t="shared" si="12"/>
        <v>-46.757340738548464</v>
      </c>
      <c r="AN99" s="161">
        <f t="shared" si="12"/>
        <v>-39.742186357311198</v>
      </c>
      <c r="AO99" s="161">
        <f t="shared" si="12"/>
        <v>-32.727031976073931</v>
      </c>
      <c r="AP99" s="161">
        <f t="shared" si="13"/>
        <v>-25.711877594836665</v>
      </c>
      <c r="AQ99" s="161">
        <f t="shared" si="13"/>
        <v>-18.696723213599512</v>
      </c>
      <c r="AR99" s="161">
        <f t="shared" si="13"/>
        <v>-11.681568832362245</v>
      </c>
      <c r="AS99" s="161">
        <f t="shared" si="13"/>
        <v>-4.6664144511250925</v>
      </c>
      <c r="AT99" s="161">
        <f t="shared" si="13"/>
        <v>2.3487399301121741</v>
      </c>
      <c r="AU99" s="161">
        <f t="shared" si="13"/>
        <v>9.3638943113493269</v>
      </c>
      <c r="AV99" s="161">
        <f t="shared" si="13"/>
        <v>16.379048692586593</v>
      </c>
      <c r="AW99" s="161">
        <f t="shared" si="13"/>
        <v>23.394203073823746</v>
      </c>
      <c r="AX99" s="161">
        <f t="shared" si="14"/>
        <v>-15.503875968992247</v>
      </c>
      <c r="AY99" s="161">
        <f t="shared" si="14"/>
        <v>-11.627906976744185</v>
      </c>
      <c r="AZ99" s="161">
        <f t="shared" si="14"/>
        <v>-7.7519379844961236</v>
      </c>
      <c r="BA99" s="161">
        <f t="shared" si="14"/>
        <v>-3.8759689922480618</v>
      </c>
      <c r="BB99" s="161">
        <f t="shared" si="14"/>
        <v>0</v>
      </c>
      <c r="BC99" s="161">
        <f t="shared" si="14"/>
        <v>3.8759689922480618</v>
      </c>
      <c r="BD99" s="161">
        <f t="shared" si="14"/>
        <v>7.7519379844961236</v>
      </c>
      <c r="BE99" s="161">
        <f t="shared" si="14"/>
        <v>11.627906976744185</v>
      </c>
      <c r="BF99" s="161">
        <f t="shared" si="14"/>
        <v>15.503875968992247</v>
      </c>
      <c r="BG99" s="161">
        <f t="shared" si="14"/>
        <v>19.379844961240309</v>
      </c>
      <c r="BH99" s="161">
        <f t="shared" si="14"/>
        <v>23.255813953488371</v>
      </c>
      <c r="BI99" s="161">
        <f t="shared" si="14"/>
        <v>27.131782945736433</v>
      </c>
    </row>
  </sheetData>
  <sheetProtection password="CF43" scenarios="1"/>
  <printOptions horizontalCentered="1" verticalCentered="1"/>
  <pageMargins left="0.19685039370078741" right="0" top="0.19685039370078741" bottom="0.19685039370078741" header="0.19685039370078741" footer="0.19685039370078741"/>
  <pageSetup paperSize="9" scale="85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O1039"/>
  <sheetViews>
    <sheetView topLeftCell="A7" zoomScale="80" zoomScaleNormal="80" workbookViewId="0">
      <selection activeCell="F1" sqref="F1"/>
    </sheetView>
  </sheetViews>
  <sheetFormatPr baseColWidth="10" defaultColWidth="11.44140625" defaultRowHeight="16.2" x14ac:dyDescent="0.4"/>
  <cols>
    <col min="1" max="1" width="10.44140625" style="61" bestFit="1" customWidth="1"/>
    <col min="2" max="2" width="12" style="62" bestFit="1" customWidth="1"/>
    <col min="3" max="3" width="14" style="61" bestFit="1" customWidth="1"/>
    <col min="4" max="4" width="11" style="62" bestFit="1" customWidth="1"/>
    <col min="5" max="5" width="13" style="62" bestFit="1" customWidth="1"/>
    <col min="6" max="6" width="3.88671875" style="62" customWidth="1"/>
    <col min="7" max="7" width="10.5546875" style="61" bestFit="1" customWidth="1"/>
    <col min="8" max="8" width="10.6640625" style="62" bestFit="1" customWidth="1"/>
    <col min="9" max="9" width="12.44140625" style="63" customWidth="1"/>
    <col min="10" max="10" width="11.33203125" style="62" bestFit="1" customWidth="1"/>
    <col min="11" max="11" width="10.5546875" style="61" customWidth="1"/>
    <col min="12" max="12" width="3.88671875" style="62" customWidth="1"/>
    <col min="13" max="13" width="0" style="71" hidden="1" customWidth="1"/>
    <col min="14" max="14" width="8.6640625" style="66" bestFit="1" customWidth="1"/>
    <col min="15" max="15" width="8.6640625" style="66" customWidth="1"/>
    <col min="16" max="256" width="11.44140625" style="66"/>
    <col min="257" max="257" width="10.44140625" style="66" bestFit="1" customWidth="1"/>
    <col min="258" max="258" width="12" style="66" bestFit="1" customWidth="1"/>
    <col min="259" max="259" width="14" style="66" bestFit="1" customWidth="1"/>
    <col min="260" max="260" width="11" style="66" bestFit="1" customWidth="1"/>
    <col min="261" max="261" width="13" style="66" bestFit="1" customWidth="1"/>
    <col min="262" max="262" width="3.88671875" style="66" customWidth="1"/>
    <col min="263" max="263" width="10.5546875" style="66" bestFit="1" customWidth="1"/>
    <col min="264" max="264" width="10.6640625" style="66" bestFit="1" customWidth="1"/>
    <col min="265" max="265" width="12.44140625" style="66" customWidth="1"/>
    <col min="266" max="266" width="11.33203125" style="66" bestFit="1" customWidth="1"/>
    <col min="267" max="267" width="10.5546875" style="66" customWidth="1"/>
    <col min="268" max="268" width="3.88671875" style="66" customWidth="1"/>
    <col min="269" max="269" width="0" style="66" hidden="1" customWidth="1"/>
    <col min="270" max="270" width="8.6640625" style="66" bestFit="1" customWidth="1"/>
    <col min="271" max="271" width="8.6640625" style="66" customWidth="1"/>
    <col min="272" max="512" width="11.44140625" style="66"/>
    <col min="513" max="513" width="10.44140625" style="66" bestFit="1" customWidth="1"/>
    <col min="514" max="514" width="12" style="66" bestFit="1" customWidth="1"/>
    <col min="515" max="515" width="14" style="66" bestFit="1" customWidth="1"/>
    <col min="516" max="516" width="11" style="66" bestFit="1" customWidth="1"/>
    <col min="517" max="517" width="13" style="66" bestFit="1" customWidth="1"/>
    <col min="518" max="518" width="3.88671875" style="66" customWidth="1"/>
    <col min="519" max="519" width="10.5546875" style="66" bestFit="1" customWidth="1"/>
    <col min="520" max="520" width="10.6640625" style="66" bestFit="1" customWidth="1"/>
    <col min="521" max="521" width="12.44140625" style="66" customWidth="1"/>
    <col min="522" max="522" width="11.33203125" style="66" bestFit="1" customWidth="1"/>
    <col min="523" max="523" width="10.5546875" style="66" customWidth="1"/>
    <col min="524" max="524" width="3.88671875" style="66" customWidth="1"/>
    <col min="525" max="525" width="0" style="66" hidden="1" customWidth="1"/>
    <col min="526" max="526" width="8.6640625" style="66" bestFit="1" customWidth="1"/>
    <col min="527" max="527" width="8.6640625" style="66" customWidth="1"/>
    <col min="528" max="768" width="11.44140625" style="66"/>
    <col min="769" max="769" width="10.44140625" style="66" bestFit="1" customWidth="1"/>
    <col min="770" max="770" width="12" style="66" bestFit="1" customWidth="1"/>
    <col min="771" max="771" width="14" style="66" bestFit="1" customWidth="1"/>
    <col min="772" max="772" width="11" style="66" bestFit="1" customWidth="1"/>
    <col min="773" max="773" width="13" style="66" bestFit="1" customWidth="1"/>
    <col min="774" max="774" width="3.88671875" style="66" customWidth="1"/>
    <col min="775" max="775" width="10.5546875" style="66" bestFit="1" customWidth="1"/>
    <col min="776" max="776" width="10.6640625" style="66" bestFit="1" customWidth="1"/>
    <col min="777" max="777" width="12.44140625" style="66" customWidth="1"/>
    <col min="778" max="778" width="11.33203125" style="66" bestFit="1" customWidth="1"/>
    <col min="779" max="779" width="10.5546875" style="66" customWidth="1"/>
    <col min="780" max="780" width="3.88671875" style="66" customWidth="1"/>
    <col min="781" max="781" width="0" style="66" hidden="1" customWidth="1"/>
    <col min="782" max="782" width="8.6640625" style="66" bestFit="1" customWidth="1"/>
    <col min="783" max="783" width="8.6640625" style="66" customWidth="1"/>
    <col min="784" max="1024" width="11.44140625" style="66"/>
    <col min="1025" max="1025" width="10.44140625" style="66" bestFit="1" customWidth="1"/>
    <col min="1026" max="1026" width="12" style="66" bestFit="1" customWidth="1"/>
    <col min="1027" max="1027" width="14" style="66" bestFit="1" customWidth="1"/>
    <col min="1028" max="1028" width="11" style="66" bestFit="1" customWidth="1"/>
    <col min="1029" max="1029" width="13" style="66" bestFit="1" customWidth="1"/>
    <col min="1030" max="1030" width="3.88671875" style="66" customWidth="1"/>
    <col min="1031" max="1031" width="10.5546875" style="66" bestFit="1" customWidth="1"/>
    <col min="1032" max="1032" width="10.6640625" style="66" bestFit="1" customWidth="1"/>
    <col min="1033" max="1033" width="12.44140625" style="66" customWidth="1"/>
    <col min="1034" max="1034" width="11.33203125" style="66" bestFit="1" customWidth="1"/>
    <col min="1035" max="1035" width="10.5546875" style="66" customWidth="1"/>
    <col min="1036" max="1036" width="3.88671875" style="66" customWidth="1"/>
    <col min="1037" max="1037" width="0" style="66" hidden="1" customWidth="1"/>
    <col min="1038" max="1038" width="8.6640625" style="66" bestFit="1" customWidth="1"/>
    <col min="1039" max="1039" width="8.6640625" style="66" customWidth="1"/>
    <col min="1040" max="1280" width="11.44140625" style="66"/>
    <col min="1281" max="1281" width="10.44140625" style="66" bestFit="1" customWidth="1"/>
    <col min="1282" max="1282" width="12" style="66" bestFit="1" customWidth="1"/>
    <col min="1283" max="1283" width="14" style="66" bestFit="1" customWidth="1"/>
    <col min="1284" max="1284" width="11" style="66" bestFit="1" customWidth="1"/>
    <col min="1285" max="1285" width="13" style="66" bestFit="1" customWidth="1"/>
    <col min="1286" max="1286" width="3.88671875" style="66" customWidth="1"/>
    <col min="1287" max="1287" width="10.5546875" style="66" bestFit="1" customWidth="1"/>
    <col min="1288" max="1288" width="10.6640625" style="66" bestFit="1" customWidth="1"/>
    <col min="1289" max="1289" width="12.44140625" style="66" customWidth="1"/>
    <col min="1290" max="1290" width="11.33203125" style="66" bestFit="1" customWidth="1"/>
    <col min="1291" max="1291" width="10.5546875" style="66" customWidth="1"/>
    <col min="1292" max="1292" width="3.88671875" style="66" customWidth="1"/>
    <col min="1293" max="1293" width="0" style="66" hidden="1" customWidth="1"/>
    <col min="1294" max="1294" width="8.6640625" style="66" bestFit="1" customWidth="1"/>
    <col min="1295" max="1295" width="8.6640625" style="66" customWidth="1"/>
    <col min="1296" max="1536" width="11.44140625" style="66"/>
    <col min="1537" max="1537" width="10.44140625" style="66" bestFit="1" customWidth="1"/>
    <col min="1538" max="1538" width="12" style="66" bestFit="1" customWidth="1"/>
    <col min="1539" max="1539" width="14" style="66" bestFit="1" customWidth="1"/>
    <col min="1540" max="1540" width="11" style="66" bestFit="1" customWidth="1"/>
    <col min="1541" max="1541" width="13" style="66" bestFit="1" customWidth="1"/>
    <col min="1542" max="1542" width="3.88671875" style="66" customWidth="1"/>
    <col min="1543" max="1543" width="10.5546875" style="66" bestFit="1" customWidth="1"/>
    <col min="1544" max="1544" width="10.6640625" style="66" bestFit="1" customWidth="1"/>
    <col min="1545" max="1545" width="12.44140625" style="66" customWidth="1"/>
    <col min="1546" max="1546" width="11.33203125" style="66" bestFit="1" customWidth="1"/>
    <col min="1547" max="1547" width="10.5546875" style="66" customWidth="1"/>
    <col min="1548" max="1548" width="3.88671875" style="66" customWidth="1"/>
    <col min="1549" max="1549" width="0" style="66" hidden="1" customWidth="1"/>
    <col min="1550" max="1550" width="8.6640625" style="66" bestFit="1" customWidth="1"/>
    <col min="1551" max="1551" width="8.6640625" style="66" customWidth="1"/>
    <col min="1552" max="1792" width="11.44140625" style="66"/>
    <col min="1793" max="1793" width="10.44140625" style="66" bestFit="1" customWidth="1"/>
    <col min="1794" max="1794" width="12" style="66" bestFit="1" customWidth="1"/>
    <col min="1795" max="1795" width="14" style="66" bestFit="1" customWidth="1"/>
    <col min="1796" max="1796" width="11" style="66" bestFit="1" customWidth="1"/>
    <col min="1797" max="1797" width="13" style="66" bestFit="1" customWidth="1"/>
    <col min="1798" max="1798" width="3.88671875" style="66" customWidth="1"/>
    <col min="1799" max="1799" width="10.5546875" style="66" bestFit="1" customWidth="1"/>
    <col min="1800" max="1800" width="10.6640625" style="66" bestFit="1" customWidth="1"/>
    <col min="1801" max="1801" width="12.44140625" style="66" customWidth="1"/>
    <col min="1802" max="1802" width="11.33203125" style="66" bestFit="1" customWidth="1"/>
    <col min="1803" max="1803" width="10.5546875" style="66" customWidth="1"/>
    <col min="1804" max="1804" width="3.88671875" style="66" customWidth="1"/>
    <col min="1805" max="1805" width="0" style="66" hidden="1" customWidth="1"/>
    <col min="1806" max="1806" width="8.6640625" style="66" bestFit="1" customWidth="1"/>
    <col min="1807" max="1807" width="8.6640625" style="66" customWidth="1"/>
    <col min="1808" max="2048" width="11.44140625" style="66"/>
    <col min="2049" max="2049" width="10.44140625" style="66" bestFit="1" customWidth="1"/>
    <col min="2050" max="2050" width="12" style="66" bestFit="1" customWidth="1"/>
    <col min="2051" max="2051" width="14" style="66" bestFit="1" customWidth="1"/>
    <col min="2052" max="2052" width="11" style="66" bestFit="1" customWidth="1"/>
    <col min="2053" max="2053" width="13" style="66" bestFit="1" customWidth="1"/>
    <col min="2054" max="2054" width="3.88671875" style="66" customWidth="1"/>
    <col min="2055" max="2055" width="10.5546875" style="66" bestFit="1" customWidth="1"/>
    <col min="2056" max="2056" width="10.6640625" style="66" bestFit="1" customWidth="1"/>
    <col min="2057" max="2057" width="12.44140625" style="66" customWidth="1"/>
    <col min="2058" max="2058" width="11.33203125" style="66" bestFit="1" customWidth="1"/>
    <col min="2059" max="2059" width="10.5546875" style="66" customWidth="1"/>
    <col min="2060" max="2060" width="3.88671875" style="66" customWidth="1"/>
    <col min="2061" max="2061" width="0" style="66" hidden="1" customWidth="1"/>
    <col min="2062" max="2062" width="8.6640625" style="66" bestFit="1" customWidth="1"/>
    <col min="2063" max="2063" width="8.6640625" style="66" customWidth="1"/>
    <col min="2064" max="2304" width="11.44140625" style="66"/>
    <col min="2305" max="2305" width="10.44140625" style="66" bestFit="1" customWidth="1"/>
    <col min="2306" max="2306" width="12" style="66" bestFit="1" customWidth="1"/>
    <col min="2307" max="2307" width="14" style="66" bestFit="1" customWidth="1"/>
    <col min="2308" max="2308" width="11" style="66" bestFit="1" customWidth="1"/>
    <col min="2309" max="2309" width="13" style="66" bestFit="1" customWidth="1"/>
    <col min="2310" max="2310" width="3.88671875" style="66" customWidth="1"/>
    <col min="2311" max="2311" width="10.5546875" style="66" bestFit="1" customWidth="1"/>
    <col min="2312" max="2312" width="10.6640625" style="66" bestFit="1" customWidth="1"/>
    <col min="2313" max="2313" width="12.44140625" style="66" customWidth="1"/>
    <col min="2314" max="2314" width="11.33203125" style="66" bestFit="1" customWidth="1"/>
    <col min="2315" max="2315" width="10.5546875" style="66" customWidth="1"/>
    <col min="2316" max="2316" width="3.88671875" style="66" customWidth="1"/>
    <col min="2317" max="2317" width="0" style="66" hidden="1" customWidth="1"/>
    <col min="2318" max="2318" width="8.6640625" style="66" bestFit="1" customWidth="1"/>
    <col min="2319" max="2319" width="8.6640625" style="66" customWidth="1"/>
    <col min="2320" max="2560" width="11.44140625" style="66"/>
    <col min="2561" max="2561" width="10.44140625" style="66" bestFit="1" customWidth="1"/>
    <col min="2562" max="2562" width="12" style="66" bestFit="1" customWidth="1"/>
    <col min="2563" max="2563" width="14" style="66" bestFit="1" customWidth="1"/>
    <col min="2564" max="2564" width="11" style="66" bestFit="1" customWidth="1"/>
    <col min="2565" max="2565" width="13" style="66" bestFit="1" customWidth="1"/>
    <col min="2566" max="2566" width="3.88671875" style="66" customWidth="1"/>
    <col min="2567" max="2567" width="10.5546875" style="66" bestFit="1" customWidth="1"/>
    <col min="2568" max="2568" width="10.6640625" style="66" bestFit="1" customWidth="1"/>
    <col min="2569" max="2569" width="12.44140625" style="66" customWidth="1"/>
    <col min="2570" max="2570" width="11.33203125" style="66" bestFit="1" customWidth="1"/>
    <col min="2571" max="2571" width="10.5546875" style="66" customWidth="1"/>
    <col min="2572" max="2572" width="3.88671875" style="66" customWidth="1"/>
    <col min="2573" max="2573" width="0" style="66" hidden="1" customWidth="1"/>
    <col min="2574" max="2574" width="8.6640625" style="66" bestFit="1" customWidth="1"/>
    <col min="2575" max="2575" width="8.6640625" style="66" customWidth="1"/>
    <col min="2576" max="2816" width="11.44140625" style="66"/>
    <col min="2817" max="2817" width="10.44140625" style="66" bestFit="1" customWidth="1"/>
    <col min="2818" max="2818" width="12" style="66" bestFit="1" customWidth="1"/>
    <col min="2819" max="2819" width="14" style="66" bestFit="1" customWidth="1"/>
    <col min="2820" max="2820" width="11" style="66" bestFit="1" customWidth="1"/>
    <col min="2821" max="2821" width="13" style="66" bestFit="1" customWidth="1"/>
    <col min="2822" max="2822" width="3.88671875" style="66" customWidth="1"/>
    <col min="2823" max="2823" width="10.5546875" style="66" bestFit="1" customWidth="1"/>
    <col min="2824" max="2824" width="10.6640625" style="66" bestFit="1" customWidth="1"/>
    <col min="2825" max="2825" width="12.44140625" style="66" customWidth="1"/>
    <col min="2826" max="2826" width="11.33203125" style="66" bestFit="1" customWidth="1"/>
    <col min="2827" max="2827" width="10.5546875" style="66" customWidth="1"/>
    <col min="2828" max="2828" width="3.88671875" style="66" customWidth="1"/>
    <col min="2829" max="2829" width="0" style="66" hidden="1" customWidth="1"/>
    <col min="2830" max="2830" width="8.6640625" style="66" bestFit="1" customWidth="1"/>
    <col min="2831" max="2831" width="8.6640625" style="66" customWidth="1"/>
    <col min="2832" max="3072" width="11.44140625" style="66"/>
    <col min="3073" max="3073" width="10.44140625" style="66" bestFit="1" customWidth="1"/>
    <col min="3074" max="3074" width="12" style="66" bestFit="1" customWidth="1"/>
    <col min="3075" max="3075" width="14" style="66" bestFit="1" customWidth="1"/>
    <col min="3076" max="3076" width="11" style="66" bestFit="1" customWidth="1"/>
    <col min="3077" max="3077" width="13" style="66" bestFit="1" customWidth="1"/>
    <col min="3078" max="3078" width="3.88671875" style="66" customWidth="1"/>
    <col min="3079" max="3079" width="10.5546875" style="66" bestFit="1" customWidth="1"/>
    <col min="3080" max="3080" width="10.6640625" style="66" bestFit="1" customWidth="1"/>
    <col min="3081" max="3081" width="12.44140625" style="66" customWidth="1"/>
    <col min="3082" max="3082" width="11.33203125" style="66" bestFit="1" customWidth="1"/>
    <col min="3083" max="3083" width="10.5546875" style="66" customWidth="1"/>
    <col min="3084" max="3084" width="3.88671875" style="66" customWidth="1"/>
    <col min="3085" max="3085" width="0" style="66" hidden="1" customWidth="1"/>
    <col min="3086" max="3086" width="8.6640625" style="66" bestFit="1" customWidth="1"/>
    <col min="3087" max="3087" width="8.6640625" style="66" customWidth="1"/>
    <col min="3088" max="3328" width="11.44140625" style="66"/>
    <col min="3329" max="3329" width="10.44140625" style="66" bestFit="1" customWidth="1"/>
    <col min="3330" max="3330" width="12" style="66" bestFit="1" customWidth="1"/>
    <col min="3331" max="3331" width="14" style="66" bestFit="1" customWidth="1"/>
    <col min="3332" max="3332" width="11" style="66" bestFit="1" customWidth="1"/>
    <col min="3333" max="3333" width="13" style="66" bestFit="1" customWidth="1"/>
    <col min="3334" max="3334" width="3.88671875" style="66" customWidth="1"/>
    <col min="3335" max="3335" width="10.5546875" style="66" bestFit="1" customWidth="1"/>
    <col min="3336" max="3336" width="10.6640625" style="66" bestFit="1" customWidth="1"/>
    <col min="3337" max="3337" width="12.44140625" style="66" customWidth="1"/>
    <col min="3338" max="3338" width="11.33203125" style="66" bestFit="1" customWidth="1"/>
    <col min="3339" max="3339" width="10.5546875" style="66" customWidth="1"/>
    <col min="3340" max="3340" width="3.88671875" style="66" customWidth="1"/>
    <col min="3341" max="3341" width="0" style="66" hidden="1" customWidth="1"/>
    <col min="3342" max="3342" width="8.6640625" style="66" bestFit="1" customWidth="1"/>
    <col min="3343" max="3343" width="8.6640625" style="66" customWidth="1"/>
    <col min="3344" max="3584" width="11.44140625" style="66"/>
    <col min="3585" max="3585" width="10.44140625" style="66" bestFit="1" customWidth="1"/>
    <col min="3586" max="3586" width="12" style="66" bestFit="1" customWidth="1"/>
    <col min="3587" max="3587" width="14" style="66" bestFit="1" customWidth="1"/>
    <col min="3588" max="3588" width="11" style="66" bestFit="1" customWidth="1"/>
    <col min="3589" max="3589" width="13" style="66" bestFit="1" customWidth="1"/>
    <col min="3590" max="3590" width="3.88671875" style="66" customWidth="1"/>
    <col min="3591" max="3591" width="10.5546875" style="66" bestFit="1" customWidth="1"/>
    <col min="3592" max="3592" width="10.6640625" style="66" bestFit="1" customWidth="1"/>
    <col min="3593" max="3593" width="12.44140625" style="66" customWidth="1"/>
    <col min="3594" max="3594" width="11.33203125" style="66" bestFit="1" customWidth="1"/>
    <col min="3595" max="3595" width="10.5546875" style="66" customWidth="1"/>
    <col min="3596" max="3596" width="3.88671875" style="66" customWidth="1"/>
    <col min="3597" max="3597" width="0" style="66" hidden="1" customWidth="1"/>
    <col min="3598" max="3598" width="8.6640625" style="66" bestFit="1" customWidth="1"/>
    <col min="3599" max="3599" width="8.6640625" style="66" customWidth="1"/>
    <col min="3600" max="3840" width="11.44140625" style="66"/>
    <col min="3841" max="3841" width="10.44140625" style="66" bestFit="1" customWidth="1"/>
    <col min="3842" max="3842" width="12" style="66" bestFit="1" customWidth="1"/>
    <col min="3843" max="3843" width="14" style="66" bestFit="1" customWidth="1"/>
    <col min="3844" max="3844" width="11" style="66" bestFit="1" customWidth="1"/>
    <col min="3845" max="3845" width="13" style="66" bestFit="1" customWidth="1"/>
    <col min="3846" max="3846" width="3.88671875" style="66" customWidth="1"/>
    <col min="3847" max="3847" width="10.5546875" style="66" bestFit="1" customWidth="1"/>
    <col min="3848" max="3848" width="10.6640625" style="66" bestFit="1" customWidth="1"/>
    <col min="3849" max="3849" width="12.44140625" style="66" customWidth="1"/>
    <col min="3850" max="3850" width="11.33203125" style="66" bestFit="1" customWidth="1"/>
    <col min="3851" max="3851" width="10.5546875" style="66" customWidth="1"/>
    <col min="3852" max="3852" width="3.88671875" style="66" customWidth="1"/>
    <col min="3853" max="3853" width="0" style="66" hidden="1" customWidth="1"/>
    <col min="3854" max="3854" width="8.6640625" style="66" bestFit="1" customWidth="1"/>
    <col min="3855" max="3855" width="8.6640625" style="66" customWidth="1"/>
    <col min="3856" max="4096" width="11.44140625" style="66"/>
    <col min="4097" max="4097" width="10.44140625" style="66" bestFit="1" customWidth="1"/>
    <col min="4098" max="4098" width="12" style="66" bestFit="1" customWidth="1"/>
    <col min="4099" max="4099" width="14" style="66" bestFit="1" customWidth="1"/>
    <col min="4100" max="4100" width="11" style="66" bestFit="1" customWidth="1"/>
    <col min="4101" max="4101" width="13" style="66" bestFit="1" customWidth="1"/>
    <col min="4102" max="4102" width="3.88671875" style="66" customWidth="1"/>
    <col min="4103" max="4103" width="10.5546875" style="66" bestFit="1" customWidth="1"/>
    <col min="4104" max="4104" width="10.6640625" style="66" bestFit="1" customWidth="1"/>
    <col min="4105" max="4105" width="12.44140625" style="66" customWidth="1"/>
    <col min="4106" max="4106" width="11.33203125" style="66" bestFit="1" customWidth="1"/>
    <col min="4107" max="4107" width="10.5546875" style="66" customWidth="1"/>
    <col min="4108" max="4108" width="3.88671875" style="66" customWidth="1"/>
    <col min="4109" max="4109" width="0" style="66" hidden="1" customWidth="1"/>
    <col min="4110" max="4110" width="8.6640625" style="66" bestFit="1" customWidth="1"/>
    <col min="4111" max="4111" width="8.6640625" style="66" customWidth="1"/>
    <col min="4112" max="4352" width="11.44140625" style="66"/>
    <col min="4353" max="4353" width="10.44140625" style="66" bestFit="1" customWidth="1"/>
    <col min="4354" max="4354" width="12" style="66" bestFit="1" customWidth="1"/>
    <col min="4355" max="4355" width="14" style="66" bestFit="1" customWidth="1"/>
    <col min="4356" max="4356" width="11" style="66" bestFit="1" customWidth="1"/>
    <col min="4357" max="4357" width="13" style="66" bestFit="1" customWidth="1"/>
    <col min="4358" max="4358" width="3.88671875" style="66" customWidth="1"/>
    <col min="4359" max="4359" width="10.5546875" style="66" bestFit="1" customWidth="1"/>
    <col min="4360" max="4360" width="10.6640625" style="66" bestFit="1" customWidth="1"/>
    <col min="4361" max="4361" width="12.44140625" style="66" customWidth="1"/>
    <col min="4362" max="4362" width="11.33203125" style="66" bestFit="1" customWidth="1"/>
    <col min="4363" max="4363" width="10.5546875" style="66" customWidth="1"/>
    <col min="4364" max="4364" width="3.88671875" style="66" customWidth="1"/>
    <col min="4365" max="4365" width="0" style="66" hidden="1" customWidth="1"/>
    <col min="4366" max="4366" width="8.6640625" style="66" bestFit="1" customWidth="1"/>
    <col min="4367" max="4367" width="8.6640625" style="66" customWidth="1"/>
    <col min="4368" max="4608" width="11.44140625" style="66"/>
    <col min="4609" max="4609" width="10.44140625" style="66" bestFit="1" customWidth="1"/>
    <col min="4610" max="4610" width="12" style="66" bestFit="1" customWidth="1"/>
    <col min="4611" max="4611" width="14" style="66" bestFit="1" customWidth="1"/>
    <col min="4612" max="4612" width="11" style="66" bestFit="1" customWidth="1"/>
    <col min="4613" max="4613" width="13" style="66" bestFit="1" customWidth="1"/>
    <col min="4614" max="4614" width="3.88671875" style="66" customWidth="1"/>
    <col min="4615" max="4615" width="10.5546875" style="66" bestFit="1" customWidth="1"/>
    <col min="4616" max="4616" width="10.6640625" style="66" bestFit="1" customWidth="1"/>
    <col min="4617" max="4617" width="12.44140625" style="66" customWidth="1"/>
    <col min="4618" max="4618" width="11.33203125" style="66" bestFit="1" customWidth="1"/>
    <col min="4619" max="4619" width="10.5546875" style="66" customWidth="1"/>
    <col min="4620" max="4620" width="3.88671875" style="66" customWidth="1"/>
    <col min="4621" max="4621" width="0" style="66" hidden="1" customWidth="1"/>
    <col min="4622" max="4622" width="8.6640625" style="66" bestFit="1" customWidth="1"/>
    <col min="4623" max="4623" width="8.6640625" style="66" customWidth="1"/>
    <col min="4624" max="4864" width="11.44140625" style="66"/>
    <col min="4865" max="4865" width="10.44140625" style="66" bestFit="1" customWidth="1"/>
    <col min="4866" max="4866" width="12" style="66" bestFit="1" customWidth="1"/>
    <col min="4867" max="4867" width="14" style="66" bestFit="1" customWidth="1"/>
    <col min="4868" max="4868" width="11" style="66" bestFit="1" customWidth="1"/>
    <col min="4869" max="4869" width="13" style="66" bestFit="1" customWidth="1"/>
    <col min="4870" max="4870" width="3.88671875" style="66" customWidth="1"/>
    <col min="4871" max="4871" width="10.5546875" style="66" bestFit="1" customWidth="1"/>
    <col min="4872" max="4872" width="10.6640625" style="66" bestFit="1" customWidth="1"/>
    <col min="4873" max="4873" width="12.44140625" style="66" customWidth="1"/>
    <col min="4874" max="4874" width="11.33203125" style="66" bestFit="1" customWidth="1"/>
    <col min="4875" max="4875" width="10.5546875" style="66" customWidth="1"/>
    <col min="4876" max="4876" width="3.88671875" style="66" customWidth="1"/>
    <col min="4877" max="4877" width="0" style="66" hidden="1" customWidth="1"/>
    <col min="4878" max="4878" width="8.6640625" style="66" bestFit="1" customWidth="1"/>
    <col min="4879" max="4879" width="8.6640625" style="66" customWidth="1"/>
    <col min="4880" max="5120" width="11.44140625" style="66"/>
    <col min="5121" max="5121" width="10.44140625" style="66" bestFit="1" customWidth="1"/>
    <col min="5122" max="5122" width="12" style="66" bestFit="1" customWidth="1"/>
    <col min="5123" max="5123" width="14" style="66" bestFit="1" customWidth="1"/>
    <col min="5124" max="5124" width="11" style="66" bestFit="1" customWidth="1"/>
    <col min="5125" max="5125" width="13" style="66" bestFit="1" customWidth="1"/>
    <col min="5126" max="5126" width="3.88671875" style="66" customWidth="1"/>
    <col min="5127" max="5127" width="10.5546875" style="66" bestFit="1" customWidth="1"/>
    <col min="5128" max="5128" width="10.6640625" style="66" bestFit="1" customWidth="1"/>
    <col min="5129" max="5129" width="12.44140625" style="66" customWidth="1"/>
    <col min="5130" max="5130" width="11.33203125" style="66" bestFit="1" customWidth="1"/>
    <col min="5131" max="5131" width="10.5546875" style="66" customWidth="1"/>
    <col min="5132" max="5132" width="3.88671875" style="66" customWidth="1"/>
    <col min="5133" max="5133" width="0" style="66" hidden="1" customWidth="1"/>
    <col min="5134" max="5134" width="8.6640625" style="66" bestFit="1" customWidth="1"/>
    <col min="5135" max="5135" width="8.6640625" style="66" customWidth="1"/>
    <col min="5136" max="5376" width="11.44140625" style="66"/>
    <col min="5377" max="5377" width="10.44140625" style="66" bestFit="1" customWidth="1"/>
    <col min="5378" max="5378" width="12" style="66" bestFit="1" customWidth="1"/>
    <col min="5379" max="5379" width="14" style="66" bestFit="1" customWidth="1"/>
    <col min="5380" max="5380" width="11" style="66" bestFit="1" customWidth="1"/>
    <col min="5381" max="5381" width="13" style="66" bestFit="1" customWidth="1"/>
    <col min="5382" max="5382" width="3.88671875" style="66" customWidth="1"/>
    <col min="5383" max="5383" width="10.5546875" style="66" bestFit="1" customWidth="1"/>
    <col min="5384" max="5384" width="10.6640625" style="66" bestFit="1" customWidth="1"/>
    <col min="5385" max="5385" width="12.44140625" style="66" customWidth="1"/>
    <col min="5386" max="5386" width="11.33203125" style="66" bestFit="1" customWidth="1"/>
    <col min="5387" max="5387" width="10.5546875" style="66" customWidth="1"/>
    <col min="5388" max="5388" width="3.88671875" style="66" customWidth="1"/>
    <col min="5389" max="5389" width="0" style="66" hidden="1" customWidth="1"/>
    <col min="5390" max="5390" width="8.6640625" style="66" bestFit="1" customWidth="1"/>
    <col min="5391" max="5391" width="8.6640625" style="66" customWidth="1"/>
    <col min="5392" max="5632" width="11.44140625" style="66"/>
    <col min="5633" max="5633" width="10.44140625" style="66" bestFit="1" customWidth="1"/>
    <col min="5634" max="5634" width="12" style="66" bestFit="1" customWidth="1"/>
    <col min="5635" max="5635" width="14" style="66" bestFit="1" customWidth="1"/>
    <col min="5636" max="5636" width="11" style="66" bestFit="1" customWidth="1"/>
    <col min="5637" max="5637" width="13" style="66" bestFit="1" customWidth="1"/>
    <col min="5638" max="5638" width="3.88671875" style="66" customWidth="1"/>
    <col min="5639" max="5639" width="10.5546875" style="66" bestFit="1" customWidth="1"/>
    <col min="5640" max="5640" width="10.6640625" style="66" bestFit="1" customWidth="1"/>
    <col min="5641" max="5641" width="12.44140625" style="66" customWidth="1"/>
    <col min="5642" max="5642" width="11.33203125" style="66" bestFit="1" customWidth="1"/>
    <col min="5643" max="5643" width="10.5546875" style="66" customWidth="1"/>
    <col min="5644" max="5644" width="3.88671875" style="66" customWidth="1"/>
    <col min="5645" max="5645" width="0" style="66" hidden="1" customWidth="1"/>
    <col min="5646" max="5646" width="8.6640625" style="66" bestFit="1" customWidth="1"/>
    <col min="5647" max="5647" width="8.6640625" style="66" customWidth="1"/>
    <col min="5648" max="5888" width="11.44140625" style="66"/>
    <col min="5889" max="5889" width="10.44140625" style="66" bestFit="1" customWidth="1"/>
    <col min="5890" max="5890" width="12" style="66" bestFit="1" customWidth="1"/>
    <col min="5891" max="5891" width="14" style="66" bestFit="1" customWidth="1"/>
    <col min="5892" max="5892" width="11" style="66" bestFit="1" customWidth="1"/>
    <col min="5893" max="5893" width="13" style="66" bestFit="1" customWidth="1"/>
    <col min="5894" max="5894" width="3.88671875" style="66" customWidth="1"/>
    <col min="5895" max="5895" width="10.5546875" style="66" bestFit="1" customWidth="1"/>
    <col min="5896" max="5896" width="10.6640625" style="66" bestFit="1" customWidth="1"/>
    <col min="5897" max="5897" width="12.44140625" style="66" customWidth="1"/>
    <col min="5898" max="5898" width="11.33203125" style="66" bestFit="1" customWidth="1"/>
    <col min="5899" max="5899" width="10.5546875" style="66" customWidth="1"/>
    <col min="5900" max="5900" width="3.88671875" style="66" customWidth="1"/>
    <col min="5901" max="5901" width="0" style="66" hidden="1" customWidth="1"/>
    <col min="5902" max="5902" width="8.6640625" style="66" bestFit="1" customWidth="1"/>
    <col min="5903" max="5903" width="8.6640625" style="66" customWidth="1"/>
    <col min="5904" max="6144" width="11.44140625" style="66"/>
    <col min="6145" max="6145" width="10.44140625" style="66" bestFit="1" customWidth="1"/>
    <col min="6146" max="6146" width="12" style="66" bestFit="1" customWidth="1"/>
    <col min="6147" max="6147" width="14" style="66" bestFit="1" customWidth="1"/>
    <col min="6148" max="6148" width="11" style="66" bestFit="1" customWidth="1"/>
    <col min="6149" max="6149" width="13" style="66" bestFit="1" customWidth="1"/>
    <col min="6150" max="6150" width="3.88671875" style="66" customWidth="1"/>
    <col min="6151" max="6151" width="10.5546875" style="66" bestFit="1" customWidth="1"/>
    <col min="6152" max="6152" width="10.6640625" style="66" bestFit="1" customWidth="1"/>
    <col min="6153" max="6153" width="12.44140625" style="66" customWidth="1"/>
    <col min="6154" max="6154" width="11.33203125" style="66" bestFit="1" customWidth="1"/>
    <col min="6155" max="6155" width="10.5546875" style="66" customWidth="1"/>
    <col min="6156" max="6156" width="3.88671875" style="66" customWidth="1"/>
    <col min="6157" max="6157" width="0" style="66" hidden="1" customWidth="1"/>
    <col min="6158" max="6158" width="8.6640625" style="66" bestFit="1" customWidth="1"/>
    <col min="6159" max="6159" width="8.6640625" style="66" customWidth="1"/>
    <col min="6160" max="6400" width="11.44140625" style="66"/>
    <col min="6401" max="6401" width="10.44140625" style="66" bestFit="1" customWidth="1"/>
    <col min="6402" max="6402" width="12" style="66" bestFit="1" customWidth="1"/>
    <col min="6403" max="6403" width="14" style="66" bestFit="1" customWidth="1"/>
    <col min="6404" max="6404" width="11" style="66" bestFit="1" customWidth="1"/>
    <col min="6405" max="6405" width="13" style="66" bestFit="1" customWidth="1"/>
    <col min="6406" max="6406" width="3.88671875" style="66" customWidth="1"/>
    <col min="6407" max="6407" width="10.5546875" style="66" bestFit="1" customWidth="1"/>
    <col min="6408" max="6408" width="10.6640625" style="66" bestFit="1" customWidth="1"/>
    <col min="6409" max="6409" width="12.44140625" style="66" customWidth="1"/>
    <col min="6410" max="6410" width="11.33203125" style="66" bestFit="1" customWidth="1"/>
    <col min="6411" max="6411" width="10.5546875" style="66" customWidth="1"/>
    <col min="6412" max="6412" width="3.88671875" style="66" customWidth="1"/>
    <col min="6413" max="6413" width="0" style="66" hidden="1" customWidth="1"/>
    <col min="6414" max="6414" width="8.6640625" style="66" bestFit="1" customWidth="1"/>
    <col min="6415" max="6415" width="8.6640625" style="66" customWidth="1"/>
    <col min="6416" max="6656" width="11.44140625" style="66"/>
    <col min="6657" max="6657" width="10.44140625" style="66" bestFit="1" customWidth="1"/>
    <col min="6658" max="6658" width="12" style="66" bestFit="1" customWidth="1"/>
    <col min="6659" max="6659" width="14" style="66" bestFit="1" customWidth="1"/>
    <col min="6660" max="6660" width="11" style="66" bestFit="1" customWidth="1"/>
    <col min="6661" max="6661" width="13" style="66" bestFit="1" customWidth="1"/>
    <col min="6662" max="6662" width="3.88671875" style="66" customWidth="1"/>
    <col min="6663" max="6663" width="10.5546875" style="66" bestFit="1" customWidth="1"/>
    <col min="6664" max="6664" width="10.6640625" style="66" bestFit="1" customWidth="1"/>
    <col min="6665" max="6665" width="12.44140625" style="66" customWidth="1"/>
    <col min="6666" max="6666" width="11.33203125" style="66" bestFit="1" customWidth="1"/>
    <col min="6667" max="6667" width="10.5546875" style="66" customWidth="1"/>
    <col min="6668" max="6668" width="3.88671875" style="66" customWidth="1"/>
    <col min="6669" max="6669" width="0" style="66" hidden="1" customWidth="1"/>
    <col min="6670" max="6670" width="8.6640625" style="66" bestFit="1" customWidth="1"/>
    <col min="6671" max="6671" width="8.6640625" style="66" customWidth="1"/>
    <col min="6672" max="6912" width="11.44140625" style="66"/>
    <col min="6913" max="6913" width="10.44140625" style="66" bestFit="1" customWidth="1"/>
    <col min="6914" max="6914" width="12" style="66" bestFit="1" customWidth="1"/>
    <col min="6915" max="6915" width="14" style="66" bestFit="1" customWidth="1"/>
    <col min="6916" max="6916" width="11" style="66" bestFit="1" customWidth="1"/>
    <col min="6917" max="6917" width="13" style="66" bestFit="1" customWidth="1"/>
    <col min="6918" max="6918" width="3.88671875" style="66" customWidth="1"/>
    <col min="6919" max="6919" width="10.5546875" style="66" bestFit="1" customWidth="1"/>
    <col min="6920" max="6920" width="10.6640625" style="66" bestFit="1" customWidth="1"/>
    <col min="6921" max="6921" width="12.44140625" style="66" customWidth="1"/>
    <col min="6922" max="6922" width="11.33203125" style="66" bestFit="1" customWidth="1"/>
    <col min="6923" max="6923" width="10.5546875" style="66" customWidth="1"/>
    <col min="6924" max="6924" width="3.88671875" style="66" customWidth="1"/>
    <col min="6925" max="6925" width="0" style="66" hidden="1" customWidth="1"/>
    <col min="6926" max="6926" width="8.6640625" style="66" bestFit="1" customWidth="1"/>
    <col min="6927" max="6927" width="8.6640625" style="66" customWidth="1"/>
    <col min="6928" max="7168" width="11.44140625" style="66"/>
    <col min="7169" max="7169" width="10.44140625" style="66" bestFit="1" customWidth="1"/>
    <col min="7170" max="7170" width="12" style="66" bestFit="1" customWidth="1"/>
    <col min="7171" max="7171" width="14" style="66" bestFit="1" customWidth="1"/>
    <col min="7172" max="7172" width="11" style="66" bestFit="1" customWidth="1"/>
    <col min="7173" max="7173" width="13" style="66" bestFit="1" customWidth="1"/>
    <col min="7174" max="7174" width="3.88671875" style="66" customWidth="1"/>
    <col min="7175" max="7175" width="10.5546875" style="66" bestFit="1" customWidth="1"/>
    <col min="7176" max="7176" width="10.6640625" style="66" bestFit="1" customWidth="1"/>
    <col min="7177" max="7177" width="12.44140625" style="66" customWidth="1"/>
    <col min="7178" max="7178" width="11.33203125" style="66" bestFit="1" customWidth="1"/>
    <col min="7179" max="7179" width="10.5546875" style="66" customWidth="1"/>
    <col min="7180" max="7180" width="3.88671875" style="66" customWidth="1"/>
    <col min="7181" max="7181" width="0" style="66" hidden="1" customWidth="1"/>
    <col min="7182" max="7182" width="8.6640625" style="66" bestFit="1" customWidth="1"/>
    <col min="7183" max="7183" width="8.6640625" style="66" customWidth="1"/>
    <col min="7184" max="7424" width="11.44140625" style="66"/>
    <col min="7425" max="7425" width="10.44140625" style="66" bestFit="1" customWidth="1"/>
    <col min="7426" max="7426" width="12" style="66" bestFit="1" customWidth="1"/>
    <col min="7427" max="7427" width="14" style="66" bestFit="1" customWidth="1"/>
    <col min="7428" max="7428" width="11" style="66" bestFit="1" customWidth="1"/>
    <col min="7429" max="7429" width="13" style="66" bestFit="1" customWidth="1"/>
    <col min="7430" max="7430" width="3.88671875" style="66" customWidth="1"/>
    <col min="7431" max="7431" width="10.5546875" style="66" bestFit="1" customWidth="1"/>
    <col min="7432" max="7432" width="10.6640625" style="66" bestFit="1" customWidth="1"/>
    <col min="7433" max="7433" width="12.44140625" style="66" customWidth="1"/>
    <col min="7434" max="7434" width="11.33203125" style="66" bestFit="1" customWidth="1"/>
    <col min="7435" max="7435" width="10.5546875" style="66" customWidth="1"/>
    <col min="7436" max="7436" width="3.88671875" style="66" customWidth="1"/>
    <col min="7437" max="7437" width="0" style="66" hidden="1" customWidth="1"/>
    <col min="7438" max="7438" width="8.6640625" style="66" bestFit="1" customWidth="1"/>
    <col min="7439" max="7439" width="8.6640625" style="66" customWidth="1"/>
    <col min="7440" max="7680" width="11.44140625" style="66"/>
    <col min="7681" max="7681" width="10.44140625" style="66" bestFit="1" customWidth="1"/>
    <col min="7682" max="7682" width="12" style="66" bestFit="1" customWidth="1"/>
    <col min="7683" max="7683" width="14" style="66" bestFit="1" customWidth="1"/>
    <col min="7684" max="7684" width="11" style="66" bestFit="1" customWidth="1"/>
    <col min="7685" max="7685" width="13" style="66" bestFit="1" customWidth="1"/>
    <col min="7686" max="7686" width="3.88671875" style="66" customWidth="1"/>
    <col min="7687" max="7687" width="10.5546875" style="66" bestFit="1" customWidth="1"/>
    <col min="7688" max="7688" width="10.6640625" style="66" bestFit="1" customWidth="1"/>
    <col min="7689" max="7689" width="12.44140625" style="66" customWidth="1"/>
    <col min="7690" max="7690" width="11.33203125" style="66" bestFit="1" customWidth="1"/>
    <col min="7691" max="7691" width="10.5546875" style="66" customWidth="1"/>
    <col min="7692" max="7692" width="3.88671875" style="66" customWidth="1"/>
    <col min="7693" max="7693" width="0" style="66" hidden="1" customWidth="1"/>
    <col min="7694" max="7694" width="8.6640625" style="66" bestFit="1" customWidth="1"/>
    <col min="7695" max="7695" width="8.6640625" style="66" customWidth="1"/>
    <col min="7696" max="7936" width="11.44140625" style="66"/>
    <col min="7937" max="7937" width="10.44140625" style="66" bestFit="1" customWidth="1"/>
    <col min="7938" max="7938" width="12" style="66" bestFit="1" customWidth="1"/>
    <col min="7939" max="7939" width="14" style="66" bestFit="1" customWidth="1"/>
    <col min="7940" max="7940" width="11" style="66" bestFit="1" customWidth="1"/>
    <col min="7941" max="7941" width="13" style="66" bestFit="1" customWidth="1"/>
    <col min="7942" max="7942" width="3.88671875" style="66" customWidth="1"/>
    <col min="7943" max="7943" width="10.5546875" style="66" bestFit="1" customWidth="1"/>
    <col min="7944" max="7944" width="10.6640625" style="66" bestFit="1" customWidth="1"/>
    <col min="7945" max="7945" width="12.44140625" style="66" customWidth="1"/>
    <col min="7946" max="7946" width="11.33203125" style="66" bestFit="1" customWidth="1"/>
    <col min="7947" max="7947" width="10.5546875" style="66" customWidth="1"/>
    <col min="7948" max="7948" width="3.88671875" style="66" customWidth="1"/>
    <col min="7949" max="7949" width="0" style="66" hidden="1" customWidth="1"/>
    <col min="7950" max="7950" width="8.6640625" style="66" bestFit="1" customWidth="1"/>
    <col min="7951" max="7951" width="8.6640625" style="66" customWidth="1"/>
    <col min="7952" max="8192" width="11.44140625" style="66"/>
    <col min="8193" max="8193" width="10.44140625" style="66" bestFit="1" customWidth="1"/>
    <col min="8194" max="8194" width="12" style="66" bestFit="1" customWidth="1"/>
    <col min="8195" max="8195" width="14" style="66" bestFit="1" customWidth="1"/>
    <col min="8196" max="8196" width="11" style="66" bestFit="1" customWidth="1"/>
    <col min="8197" max="8197" width="13" style="66" bestFit="1" customWidth="1"/>
    <col min="8198" max="8198" width="3.88671875" style="66" customWidth="1"/>
    <col min="8199" max="8199" width="10.5546875" style="66" bestFit="1" customWidth="1"/>
    <col min="8200" max="8200" width="10.6640625" style="66" bestFit="1" customWidth="1"/>
    <col min="8201" max="8201" width="12.44140625" style="66" customWidth="1"/>
    <col min="8202" max="8202" width="11.33203125" style="66" bestFit="1" customWidth="1"/>
    <col min="8203" max="8203" width="10.5546875" style="66" customWidth="1"/>
    <col min="8204" max="8204" width="3.88671875" style="66" customWidth="1"/>
    <col min="8205" max="8205" width="0" style="66" hidden="1" customWidth="1"/>
    <col min="8206" max="8206" width="8.6640625" style="66" bestFit="1" customWidth="1"/>
    <col min="8207" max="8207" width="8.6640625" style="66" customWidth="1"/>
    <col min="8208" max="8448" width="11.44140625" style="66"/>
    <col min="8449" max="8449" width="10.44140625" style="66" bestFit="1" customWidth="1"/>
    <col min="8450" max="8450" width="12" style="66" bestFit="1" customWidth="1"/>
    <col min="8451" max="8451" width="14" style="66" bestFit="1" customWidth="1"/>
    <col min="8452" max="8452" width="11" style="66" bestFit="1" customWidth="1"/>
    <col min="8453" max="8453" width="13" style="66" bestFit="1" customWidth="1"/>
    <col min="8454" max="8454" width="3.88671875" style="66" customWidth="1"/>
    <col min="8455" max="8455" width="10.5546875" style="66" bestFit="1" customWidth="1"/>
    <col min="8456" max="8456" width="10.6640625" style="66" bestFit="1" customWidth="1"/>
    <col min="8457" max="8457" width="12.44140625" style="66" customWidth="1"/>
    <col min="8458" max="8458" width="11.33203125" style="66" bestFit="1" customWidth="1"/>
    <col min="8459" max="8459" width="10.5546875" style="66" customWidth="1"/>
    <col min="8460" max="8460" width="3.88671875" style="66" customWidth="1"/>
    <col min="8461" max="8461" width="0" style="66" hidden="1" customWidth="1"/>
    <col min="8462" max="8462" width="8.6640625" style="66" bestFit="1" customWidth="1"/>
    <col min="8463" max="8463" width="8.6640625" style="66" customWidth="1"/>
    <col min="8464" max="8704" width="11.44140625" style="66"/>
    <col min="8705" max="8705" width="10.44140625" style="66" bestFit="1" customWidth="1"/>
    <col min="8706" max="8706" width="12" style="66" bestFit="1" customWidth="1"/>
    <col min="8707" max="8707" width="14" style="66" bestFit="1" customWidth="1"/>
    <col min="8708" max="8708" width="11" style="66" bestFit="1" customWidth="1"/>
    <col min="8709" max="8709" width="13" style="66" bestFit="1" customWidth="1"/>
    <col min="8710" max="8710" width="3.88671875" style="66" customWidth="1"/>
    <col min="8711" max="8711" width="10.5546875" style="66" bestFit="1" customWidth="1"/>
    <col min="8712" max="8712" width="10.6640625" style="66" bestFit="1" customWidth="1"/>
    <col min="8713" max="8713" width="12.44140625" style="66" customWidth="1"/>
    <col min="8714" max="8714" width="11.33203125" style="66" bestFit="1" customWidth="1"/>
    <col min="8715" max="8715" width="10.5546875" style="66" customWidth="1"/>
    <col min="8716" max="8716" width="3.88671875" style="66" customWidth="1"/>
    <col min="8717" max="8717" width="0" style="66" hidden="1" customWidth="1"/>
    <col min="8718" max="8718" width="8.6640625" style="66" bestFit="1" customWidth="1"/>
    <col min="8719" max="8719" width="8.6640625" style="66" customWidth="1"/>
    <col min="8720" max="8960" width="11.44140625" style="66"/>
    <col min="8961" max="8961" width="10.44140625" style="66" bestFit="1" customWidth="1"/>
    <col min="8962" max="8962" width="12" style="66" bestFit="1" customWidth="1"/>
    <col min="8963" max="8963" width="14" style="66" bestFit="1" customWidth="1"/>
    <col min="8964" max="8964" width="11" style="66" bestFit="1" customWidth="1"/>
    <col min="8965" max="8965" width="13" style="66" bestFit="1" customWidth="1"/>
    <col min="8966" max="8966" width="3.88671875" style="66" customWidth="1"/>
    <col min="8967" max="8967" width="10.5546875" style="66" bestFit="1" customWidth="1"/>
    <col min="8968" max="8968" width="10.6640625" style="66" bestFit="1" customWidth="1"/>
    <col min="8969" max="8969" width="12.44140625" style="66" customWidth="1"/>
    <col min="8970" max="8970" width="11.33203125" style="66" bestFit="1" customWidth="1"/>
    <col min="8971" max="8971" width="10.5546875" style="66" customWidth="1"/>
    <col min="8972" max="8972" width="3.88671875" style="66" customWidth="1"/>
    <col min="8973" max="8973" width="0" style="66" hidden="1" customWidth="1"/>
    <col min="8974" max="8974" width="8.6640625" style="66" bestFit="1" customWidth="1"/>
    <col min="8975" max="8975" width="8.6640625" style="66" customWidth="1"/>
    <col min="8976" max="9216" width="11.44140625" style="66"/>
    <col min="9217" max="9217" width="10.44140625" style="66" bestFit="1" customWidth="1"/>
    <col min="9218" max="9218" width="12" style="66" bestFit="1" customWidth="1"/>
    <col min="9219" max="9219" width="14" style="66" bestFit="1" customWidth="1"/>
    <col min="9220" max="9220" width="11" style="66" bestFit="1" customWidth="1"/>
    <col min="9221" max="9221" width="13" style="66" bestFit="1" customWidth="1"/>
    <col min="9222" max="9222" width="3.88671875" style="66" customWidth="1"/>
    <col min="9223" max="9223" width="10.5546875" style="66" bestFit="1" customWidth="1"/>
    <col min="9224" max="9224" width="10.6640625" style="66" bestFit="1" customWidth="1"/>
    <col min="9225" max="9225" width="12.44140625" style="66" customWidth="1"/>
    <col min="9226" max="9226" width="11.33203125" style="66" bestFit="1" customWidth="1"/>
    <col min="9227" max="9227" width="10.5546875" style="66" customWidth="1"/>
    <col min="9228" max="9228" width="3.88671875" style="66" customWidth="1"/>
    <col min="9229" max="9229" width="0" style="66" hidden="1" customWidth="1"/>
    <col min="9230" max="9230" width="8.6640625" style="66" bestFit="1" customWidth="1"/>
    <col min="9231" max="9231" width="8.6640625" style="66" customWidth="1"/>
    <col min="9232" max="9472" width="11.44140625" style="66"/>
    <col min="9473" max="9473" width="10.44140625" style="66" bestFit="1" customWidth="1"/>
    <col min="9474" max="9474" width="12" style="66" bestFit="1" customWidth="1"/>
    <col min="9475" max="9475" width="14" style="66" bestFit="1" customWidth="1"/>
    <col min="9476" max="9476" width="11" style="66" bestFit="1" customWidth="1"/>
    <col min="9477" max="9477" width="13" style="66" bestFit="1" customWidth="1"/>
    <col min="9478" max="9478" width="3.88671875" style="66" customWidth="1"/>
    <col min="9479" max="9479" width="10.5546875" style="66" bestFit="1" customWidth="1"/>
    <col min="9480" max="9480" width="10.6640625" style="66" bestFit="1" customWidth="1"/>
    <col min="9481" max="9481" width="12.44140625" style="66" customWidth="1"/>
    <col min="9482" max="9482" width="11.33203125" style="66" bestFit="1" customWidth="1"/>
    <col min="9483" max="9483" width="10.5546875" style="66" customWidth="1"/>
    <col min="9484" max="9484" width="3.88671875" style="66" customWidth="1"/>
    <col min="9485" max="9485" width="0" style="66" hidden="1" customWidth="1"/>
    <col min="9486" max="9486" width="8.6640625" style="66" bestFit="1" customWidth="1"/>
    <col min="9487" max="9487" width="8.6640625" style="66" customWidth="1"/>
    <col min="9488" max="9728" width="11.44140625" style="66"/>
    <col min="9729" max="9729" width="10.44140625" style="66" bestFit="1" customWidth="1"/>
    <col min="9730" max="9730" width="12" style="66" bestFit="1" customWidth="1"/>
    <col min="9731" max="9731" width="14" style="66" bestFit="1" customWidth="1"/>
    <col min="9732" max="9732" width="11" style="66" bestFit="1" customWidth="1"/>
    <col min="9733" max="9733" width="13" style="66" bestFit="1" customWidth="1"/>
    <col min="9734" max="9734" width="3.88671875" style="66" customWidth="1"/>
    <col min="9735" max="9735" width="10.5546875" style="66" bestFit="1" customWidth="1"/>
    <col min="9736" max="9736" width="10.6640625" style="66" bestFit="1" customWidth="1"/>
    <col min="9737" max="9737" width="12.44140625" style="66" customWidth="1"/>
    <col min="9738" max="9738" width="11.33203125" style="66" bestFit="1" customWidth="1"/>
    <col min="9739" max="9739" width="10.5546875" style="66" customWidth="1"/>
    <col min="9740" max="9740" width="3.88671875" style="66" customWidth="1"/>
    <col min="9741" max="9741" width="0" style="66" hidden="1" customWidth="1"/>
    <col min="9742" max="9742" width="8.6640625" style="66" bestFit="1" customWidth="1"/>
    <col min="9743" max="9743" width="8.6640625" style="66" customWidth="1"/>
    <col min="9744" max="9984" width="11.44140625" style="66"/>
    <col min="9985" max="9985" width="10.44140625" style="66" bestFit="1" customWidth="1"/>
    <col min="9986" max="9986" width="12" style="66" bestFit="1" customWidth="1"/>
    <col min="9987" max="9987" width="14" style="66" bestFit="1" customWidth="1"/>
    <col min="9988" max="9988" width="11" style="66" bestFit="1" customWidth="1"/>
    <col min="9989" max="9989" width="13" style="66" bestFit="1" customWidth="1"/>
    <col min="9990" max="9990" width="3.88671875" style="66" customWidth="1"/>
    <col min="9991" max="9991" width="10.5546875" style="66" bestFit="1" customWidth="1"/>
    <col min="9992" max="9992" width="10.6640625" style="66" bestFit="1" customWidth="1"/>
    <col min="9993" max="9993" width="12.44140625" style="66" customWidth="1"/>
    <col min="9994" max="9994" width="11.33203125" style="66" bestFit="1" customWidth="1"/>
    <col min="9995" max="9995" width="10.5546875" style="66" customWidth="1"/>
    <col min="9996" max="9996" width="3.88671875" style="66" customWidth="1"/>
    <col min="9997" max="9997" width="0" style="66" hidden="1" customWidth="1"/>
    <col min="9998" max="9998" width="8.6640625" style="66" bestFit="1" customWidth="1"/>
    <col min="9999" max="9999" width="8.6640625" style="66" customWidth="1"/>
    <col min="10000" max="10240" width="11.44140625" style="66"/>
    <col min="10241" max="10241" width="10.44140625" style="66" bestFit="1" customWidth="1"/>
    <col min="10242" max="10242" width="12" style="66" bestFit="1" customWidth="1"/>
    <col min="10243" max="10243" width="14" style="66" bestFit="1" customWidth="1"/>
    <col min="10244" max="10244" width="11" style="66" bestFit="1" customWidth="1"/>
    <col min="10245" max="10245" width="13" style="66" bestFit="1" customWidth="1"/>
    <col min="10246" max="10246" width="3.88671875" style="66" customWidth="1"/>
    <col min="10247" max="10247" width="10.5546875" style="66" bestFit="1" customWidth="1"/>
    <col min="10248" max="10248" width="10.6640625" style="66" bestFit="1" customWidth="1"/>
    <col min="10249" max="10249" width="12.44140625" style="66" customWidth="1"/>
    <col min="10250" max="10250" width="11.33203125" style="66" bestFit="1" customWidth="1"/>
    <col min="10251" max="10251" width="10.5546875" style="66" customWidth="1"/>
    <col min="10252" max="10252" width="3.88671875" style="66" customWidth="1"/>
    <col min="10253" max="10253" width="0" style="66" hidden="1" customWidth="1"/>
    <col min="10254" max="10254" width="8.6640625" style="66" bestFit="1" customWidth="1"/>
    <col min="10255" max="10255" width="8.6640625" style="66" customWidth="1"/>
    <col min="10256" max="10496" width="11.44140625" style="66"/>
    <col min="10497" max="10497" width="10.44140625" style="66" bestFit="1" customWidth="1"/>
    <col min="10498" max="10498" width="12" style="66" bestFit="1" customWidth="1"/>
    <col min="10499" max="10499" width="14" style="66" bestFit="1" customWidth="1"/>
    <col min="10500" max="10500" width="11" style="66" bestFit="1" customWidth="1"/>
    <col min="10501" max="10501" width="13" style="66" bestFit="1" customWidth="1"/>
    <col min="10502" max="10502" width="3.88671875" style="66" customWidth="1"/>
    <col min="10503" max="10503" width="10.5546875" style="66" bestFit="1" customWidth="1"/>
    <col min="10504" max="10504" width="10.6640625" style="66" bestFit="1" customWidth="1"/>
    <col min="10505" max="10505" width="12.44140625" style="66" customWidth="1"/>
    <col min="10506" max="10506" width="11.33203125" style="66" bestFit="1" customWidth="1"/>
    <col min="10507" max="10507" width="10.5546875" style="66" customWidth="1"/>
    <col min="10508" max="10508" width="3.88671875" style="66" customWidth="1"/>
    <col min="10509" max="10509" width="0" style="66" hidden="1" customWidth="1"/>
    <col min="10510" max="10510" width="8.6640625" style="66" bestFit="1" customWidth="1"/>
    <col min="10511" max="10511" width="8.6640625" style="66" customWidth="1"/>
    <col min="10512" max="10752" width="11.44140625" style="66"/>
    <col min="10753" max="10753" width="10.44140625" style="66" bestFit="1" customWidth="1"/>
    <col min="10754" max="10754" width="12" style="66" bestFit="1" customWidth="1"/>
    <col min="10755" max="10755" width="14" style="66" bestFit="1" customWidth="1"/>
    <col min="10756" max="10756" width="11" style="66" bestFit="1" customWidth="1"/>
    <col min="10757" max="10757" width="13" style="66" bestFit="1" customWidth="1"/>
    <col min="10758" max="10758" width="3.88671875" style="66" customWidth="1"/>
    <col min="10759" max="10759" width="10.5546875" style="66" bestFit="1" customWidth="1"/>
    <col min="10760" max="10760" width="10.6640625" style="66" bestFit="1" customWidth="1"/>
    <col min="10761" max="10761" width="12.44140625" style="66" customWidth="1"/>
    <col min="10762" max="10762" width="11.33203125" style="66" bestFit="1" customWidth="1"/>
    <col min="10763" max="10763" width="10.5546875" style="66" customWidth="1"/>
    <col min="10764" max="10764" width="3.88671875" style="66" customWidth="1"/>
    <col min="10765" max="10765" width="0" style="66" hidden="1" customWidth="1"/>
    <col min="10766" max="10766" width="8.6640625" style="66" bestFit="1" customWidth="1"/>
    <col min="10767" max="10767" width="8.6640625" style="66" customWidth="1"/>
    <col min="10768" max="11008" width="11.44140625" style="66"/>
    <col min="11009" max="11009" width="10.44140625" style="66" bestFit="1" customWidth="1"/>
    <col min="11010" max="11010" width="12" style="66" bestFit="1" customWidth="1"/>
    <col min="11011" max="11011" width="14" style="66" bestFit="1" customWidth="1"/>
    <col min="11012" max="11012" width="11" style="66" bestFit="1" customWidth="1"/>
    <col min="11013" max="11013" width="13" style="66" bestFit="1" customWidth="1"/>
    <col min="11014" max="11014" width="3.88671875" style="66" customWidth="1"/>
    <col min="11015" max="11015" width="10.5546875" style="66" bestFit="1" customWidth="1"/>
    <col min="11016" max="11016" width="10.6640625" style="66" bestFit="1" customWidth="1"/>
    <col min="11017" max="11017" width="12.44140625" style="66" customWidth="1"/>
    <col min="11018" max="11018" width="11.33203125" style="66" bestFit="1" customWidth="1"/>
    <col min="11019" max="11019" width="10.5546875" style="66" customWidth="1"/>
    <col min="11020" max="11020" width="3.88671875" style="66" customWidth="1"/>
    <col min="11021" max="11021" width="0" style="66" hidden="1" customWidth="1"/>
    <col min="11022" max="11022" width="8.6640625" style="66" bestFit="1" customWidth="1"/>
    <col min="11023" max="11023" width="8.6640625" style="66" customWidth="1"/>
    <col min="11024" max="11264" width="11.44140625" style="66"/>
    <col min="11265" max="11265" width="10.44140625" style="66" bestFit="1" customWidth="1"/>
    <col min="11266" max="11266" width="12" style="66" bestFit="1" customWidth="1"/>
    <col min="11267" max="11267" width="14" style="66" bestFit="1" customWidth="1"/>
    <col min="11268" max="11268" width="11" style="66" bestFit="1" customWidth="1"/>
    <col min="11269" max="11269" width="13" style="66" bestFit="1" customWidth="1"/>
    <col min="11270" max="11270" width="3.88671875" style="66" customWidth="1"/>
    <col min="11271" max="11271" width="10.5546875" style="66" bestFit="1" customWidth="1"/>
    <col min="11272" max="11272" width="10.6640625" style="66" bestFit="1" customWidth="1"/>
    <col min="11273" max="11273" width="12.44140625" style="66" customWidth="1"/>
    <col min="11274" max="11274" width="11.33203125" style="66" bestFit="1" customWidth="1"/>
    <col min="11275" max="11275" width="10.5546875" style="66" customWidth="1"/>
    <col min="11276" max="11276" width="3.88671875" style="66" customWidth="1"/>
    <col min="11277" max="11277" width="0" style="66" hidden="1" customWidth="1"/>
    <col min="11278" max="11278" width="8.6640625" style="66" bestFit="1" customWidth="1"/>
    <col min="11279" max="11279" width="8.6640625" style="66" customWidth="1"/>
    <col min="11280" max="11520" width="11.44140625" style="66"/>
    <col min="11521" max="11521" width="10.44140625" style="66" bestFit="1" customWidth="1"/>
    <col min="11522" max="11522" width="12" style="66" bestFit="1" customWidth="1"/>
    <col min="11523" max="11523" width="14" style="66" bestFit="1" customWidth="1"/>
    <col min="11524" max="11524" width="11" style="66" bestFit="1" customWidth="1"/>
    <col min="11525" max="11525" width="13" style="66" bestFit="1" customWidth="1"/>
    <col min="11526" max="11526" width="3.88671875" style="66" customWidth="1"/>
    <col min="11527" max="11527" width="10.5546875" style="66" bestFit="1" customWidth="1"/>
    <col min="11528" max="11528" width="10.6640625" style="66" bestFit="1" customWidth="1"/>
    <col min="11529" max="11529" width="12.44140625" style="66" customWidth="1"/>
    <col min="11530" max="11530" width="11.33203125" style="66" bestFit="1" customWidth="1"/>
    <col min="11531" max="11531" width="10.5546875" style="66" customWidth="1"/>
    <col min="11532" max="11532" width="3.88671875" style="66" customWidth="1"/>
    <col min="11533" max="11533" width="0" style="66" hidden="1" customWidth="1"/>
    <col min="11534" max="11534" width="8.6640625" style="66" bestFit="1" customWidth="1"/>
    <col min="11535" max="11535" width="8.6640625" style="66" customWidth="1"/>
    <col min="11536" max="11776" width="11.44140625" style="66"/>
    <col min="11777" max="11777" width="10.44140625" style="66" bestFit="1" customWidth="1"/>
    <col min="11778" max="11778" width="12" style="66" bestFit="1" customWidth="1"/>
    <col min="11779" max="11779" width="14" style="66" bestFit="1" customWidth="1"/>
    <col min="11780" max="11780" width="11" style="66" bestFit="1" customWidth="1"/>
    <col min="11781" max="11781" width="13" style="66" bestFit="1" customWidth="1"/>
    <col min="11782" max="11782" width="3.88671875" style="66" customWidth="1"/>
    <col min="11783" max="11783" width="10.5546875" style="66" bestFit="1" customWidth="1"/>
    <col min="11784" max="11784" width="10.6640625" style="66" bestFit="1" customWidth="1"/>
    <col min="11785" max="11785" width="12.44140625" style="66" customWidth="1"/>
    <col min="11786" max="11786" width="11.33203125" style="66" bestFit="1" customWidth="1"/>
    <col min="11787" max="11787" width="10.5546875" style="66" customWidth="1"/>
    <col min="11788" max="11788" width="3.88671875" style="66" customWidth="1"/>
    <col min="11789" max="11789" width="0" style="66" hidden="1" customWidth="1"/>
    <col min="11790" max="11790" width="8.6640625" style="66" bestFit="1" customWidth="1"/>
    <col min="11791" max="11791" width="8.6640625" style="66" customWidth="1"/>
    <col min="11792" max="12032" width="11.44140625" style="66"/>
    <col min="12033" max="12033" width="10.44140625" style="66" bestFit="1" customWidth="1"/>
    <col min="12034" max="12034" width="12" style="66" bestFit="1" customWidth="1"/>
    <col min="12035" max="12035" width="14" style="66" bestFit="1" customWidth="1"/>
    <col min="12036" max="12036" width="11" style="66" bestFit="1" customWidth="1"/>
    <col min="12037" max="12037" width="13" style="66" bestFit="1" customWidth="1"/>
    <col min="12038" max="12038" width="3.88671875" style="66" customWidth="1"/>
    <col min="12039" max="12039" width="10.5546875" style="66" bestFit="1" customWidth="1"/>
    <col min="12040" max="12040" width="10.6640625" style="66" bestFit="1" customWidth="1"/>
    <col min="12041" max="12041" width="12.44140625" style="66" customWidth="1"/>
    <col min="12042" max="12042" width="11.33203125" style="66" bestFit="1" customWidth="1"/>
    <col min="12043" max="12043" width="10.5546875" style="66" customWidth="1"/>
    <col min="12044" max="12044" width="3.88671875" style="66" customWidth="1"/>
    <col min="12045" max="12045" width="0" style="66" hidden="1" customWidth="1"/>
    <col min="12046" max="12046" width="8.6640625" style="66" bestFit="1" customWidth="1"/>
    <col min="12047" max="12047" width="8.6640625" style="66" customWidth="1"/>
    <col min="12048" max="12288" width="11.44140625" style="66"/>
    <col min="12289" max="12289" width="10.44140625" style="66" bestFit="1" customWidth="1"/>
    <col min="12290" max="12290" width="12" style="66" bestFit="1" customWidth="1"/>
    <col min="12291" max="12291" width="14" style="66" bestFit="1" customWidth="1"/>
    <col min="12292" max="12292" width="11" style="66" bestFit="1" customWidth="1"/>
    <col min="12293" max="12293" width="13" style="66" bestFit="1" customWidth="1"/>
    <col min="12294" max="12294" width="3.88671875" style="66" customWidth="1"/>
    <col min="12295" max="12295" width="10.5546875" style="66" bestFit="1" customWidth="1"/>
    <col min="12296" max="12296" width="10.6640625" style="66" bestFit="1" customWidth="1"/>
    <col min="12297" max="12297" width="12.44140625" style="66" customWidth="1"/>
    <col min="12298" max="12298" width="11.33203125" style="66" bestFit="1" customWidth="1"/>
    <col min="12299" max="12299" width="10.5546875" style="66" customWidth="1"/>
    <col min="12300" max="12300" width="3.88671875" style="66" customWidth="1"/>
    <col min="12301" max="12301" width="0" style="66" hidden="1" customWidth="1"/>
    <col min="12302" max="12302" width="8.6640625" style="66" bestFit="1" customWidth="1"/>
    <col min="12303" max="12303" width="8.6640625" style="66" customWidth="1"/>
    <col min="12304" max="12544" width="11.44140625" style="66"/>
    <col min="12545" max="12545" width="10.44140625" style="66" bestFit="1" customWidth="1"/>
    <col min="12546" max="12546" width="12" style="66" bestFit="1" customWidth="1"/>
    <col min="12547" max="12547" width="14" style="66" bestFit="1" customWidth="1"/>
    <col min="12548" max="12548" width="11" style="66" bestFit="1" customWidth="1"/>
    <col min="12549" max="12549" width="13" style="66" bestFit="1" customWidth="1"/>
    <col min="12550" max="12550" width="3.88671875" style="66" customWidth="1"/>
    <col min="12551" max="12551" width="10.5546875" style="66" bestFit="1" customWidth="1"/>
    <col min="12552" max="12552" width="10.6640625" style="66" bestFit="1" customWidth="1"/>
    <col min="12553" max="12553" width="12.44140625" style="66" customWidth="1"/>
    <col min="12554" max="12554" width="11.33203125" style="66" bestFit="1" customWidth="1"/>
    <col min="12555" max="12555" width="10.5546875" style="66" customWidth="1"/>
    <col min="12556" max="12556" width="3.88671875" style="66" customWidth="1"/>
    <col min="12557" max="12557" width="0" style="66" hidden="1" customWidth="1"/>
    <col min="12558" max="12558" width="8.6640625" style="66" bestFit="1" customWidth="1"/>
    <col min="12559" max="12559" width="8.6640625" style="66" customWidth="1"/>
    <col min="12560" max="12800" width="11.44140625" style="66"/>
    <col min="12801" max="12801" width="10.44140625" style="66" bestFit="1" customWidth="1"/>
    <col min="12802" max="12802" width="12" style="66" bestFit="1" customWidth="1"/>
    <col min="12803" max="12803" width="14" style="66" bestFit="1" customWidth="1"/>
    <col min="12804" max="12804" width="11" style="66" bestFit="1" customWidth="1"/>
    <col min="12805" max="12805" width="13" style="66" bestFit="1" customWidth="1"/>
    <col min="12806" max="12806" width="3.88671875" style="66" customWidth="1"/>
    <col min="12807" max="12807" width="10.5546875" style="66" bestFit="1" customWidth="1"/>
    <col min="12808" max="12808" width="10.6640625" style="66" bestFit="1" customWidth="1"/>
    <col min="12809" max="12809" width="12.44140625" style="66" customWidth="1"/>
    <col min="12810" max="12810" width="11.33203125" style="66" bestFit="1" customWidth="1"/>
    <col min="12811" max="12811" width="10.5546875" style="66" customWidth="1"/>
    <col min="12812" max="12812" width="3.88671875" style="66" customWidth="1"/>
    <col min="12813" max="12813" width="0" style="66" hidden="1" customWidth="1"/>
    <col min="12814" max="12814" width="8.6640625" style="66" bestFit="1" customWidth="1"/>
    <col min="12815" max="12815" width="8.6640625" style="66" customWidth="1"/>
    <col min="12816" max="13056" width="11.44140625" style="66"/>
    <col min="13057" max="13057" width="10.44140625" style="66" bestFit="1" customWidth="1"/>
    <col min="13058" max="13058" width="12" style="66" bestFit="1" customWidth="1"/>
    <col min="13059" max="13059" width="14" style="66" bestFit="1" customWidth="1"/>
    <col min="13060" max="13060" width="11" style="66" bestFit="1" customWidth="1"/>
    <col min="13061" max="13061" width="13" style="66" bestFit="1" customWidth="1"/>
    <col min="13062" max="13062" width="3.88671875" style="66" customWidth="1"/>
    <col min="13063" max="13063" width="10.5546875" style="66" bestFit="1" customWidth="1"/>
    <col min="13064" max="13064" width="10.6640625" style="66" bestFit="1" customWidth="1"/>
    <col min="13065" max="13065" width="12.44140625" style="66" customWidth="1"/>
    <col min="13066" max="13066" width="11.33203125" style="66" bestFit="1" customWidth="1"/>
    <col min="13067" max="13067" width="10.5546875" style="66" customWidth="1"/>
    <col min="13068" max="13068" width="3.88671875" style="66" customWidth="1"/>
    <col min="13069" max="13069" width="0" style="66" hidden="1" customWidth="1"/>
    <col min="13070" max="13070" width="8.6640625" style="66" bestFit="1" customWidth="1"/>
    <col min="13071" max="13071" width="8.6640625" style="66" customWidth="1"/>
    <col min="13072" max="13312" width="11.44140625" style="66"/>
    <col min="13313" max="13313" width="10.44140625" style="66" bestFit="1" customWidth="1"/>
    <col min="13314" max="13314" width="12" style="66" bestFit="1" customWidth="1"/>
    <col min="13315" max="13315" width="14" style="66" bestFit="1" customWidth="1"/>
    <col min="13316" max="13316" width="11" style="66" bestFit="1" customWidth="1"/>
    <col min="13317" max="13317" width="13" style="66" bestFit="1" customWidth="1"/>
    <col min="13318" max="13318" width="3.88671875" style="66" customWidth="1"/>
    <col min="13319" max="13319" width="10.5546875" style="66" bestFit="1" customWidth="1"/>
    <col min="13320" max="13320" width="10.6640625" style="66" bestFit="1" customWidth="1"/>
    <col min="13321" max="13321" width="12.44140625" style="66" customWidth="1"/>
    <col min="13322" max="13322" width="11.33203125" style="66" bestFit="1" customWidth="1"/>
    <col min="13323" max="13323" width="10.5546875" style="66" customWidth="1"/>
    <col min="13324" max="13324" width="3.88671875" style="66" customWidth="1"/>
    <col min="13325" max="13325" width="0" style="66" hidden="1" customWidth="1"/>
    <col min="13326" max="13326" width="8.6640625" style="66" bestFit="1" customWidth="1"/>
    <col min="13327" max="13327" width="8.6640625" style="66" customWidth="1"/>
    <col min="13328" max="13568" width="11.44140625" style="66"/>
    <col min="13569" max="13569" width="10.44140625" style="66" bestFit="1" customWidth="1"/>
    <col min="13570" max="13570" width="12" style="66" bestFit="1" customWidth="1"/>
    <col min="13571" max="13571" width="14" style="66" bestFit="1" customWidth="1"/>
    <col min="13572" max="13572" width="11" style="66" bestFit="1" customWidth="1"/>
    <col min="13573" max="13573" width="13" style="66" bestFit="1" customWidth="1"/>
    <col min="13574" max="13574" width="3.88671875" style="66" customWidth="1"/>
    <col min="13575" max="13575" width="10.5546875" style="66" bestFit="1" customWidth="1"/>
    <col min="13576" max="13576" width="10.6640625" style="66" bestFit="1" customWidth="1"/>
    <col min="13577" max="13577" width="12.44140625" style="66" customWidth="1"/>
    <col min="13578" max="13578" width="11.33203125" style="66" bestFit="1" customWidth="1"/>
    <col min="13579" max="13579" width="10.5546875" style="66" customWidth="1"/>
    <col min="13580" max="13580" width="3.88671875" style="66" customWidth="1"/>
    <col min="13581" max="13581" width="0" style="66" hidden="1" customWidth="1"/>
    <col min="13582" max="13582" width="8.6640625" style="66" bestFit="1" customWidth="1"/>
    <col min="13583" max="13583" width="8.6640625" style="66" customWidth="1"/>
    <col min="13584" max="13824" width="11.44140625" style="66"/>
    <col min="13825" max="13825" width="10.44140625" style="66" bestFit="1" customWidth="1"/>
    <col min="13826" max="13826" width="12" style="66" bestFit="1" customWidth="1"/>
    <col min="13827" max="13827" width="14" style="66" bestFit="1" customWidth="1"/>
    <col min="13828" max="13828" width="11" style="66" bestFit="1" customWidth="1"/>
    <col min="13829" max="13829" width="13" style="66" bestFit="1" customWidth="1"/>
    <col min="13830" max="13830" width="3.88671875" style="66" customWidth="1"/>
    <col min="13831" max="13831" width="10.5546875" style="66" bestFit="1" customWidth="1"/>
    <col min="13832" max="13832" width="10.6640625" style="66" bestFit="1" customWidth="1"/>
    <col min="13833" max="13833" width="12.44140625" style="66" customWidth="1"/>
    <col min="13834" max="13834" width="11.33203125" style="66" bestFit="1" customWidth="1"/>
    <col min="13835" max="13835" width="10.5546875" style="66" customWidth="1"/>
    <col min="13836" max="13836" width="3.88671875" style="66" customWidth="1"/>
    <col min="13837" max="13837" width="0" style="66" hidden="1" customWidth="1"/>
    <col min="13838" max="13838" width="8.6640625" style="66" bestFit="1" customWidth="1"/>
    <col min="13839" max="13839" width="8.6640625" style="66" customWidth="1"/>
    <col min="13840" max="14080" width="11.44140625" style="66"/>
    <col min="14081" max="14081" width="10.44140625" style="66" bestFit="1" customWidth="1"/>
    <col min="14082" max="14082" width="12" style="66" bestFit="1" customWidth="1"/>
    <col min="14083" max="14083" width="14" style="66" bestFit="1" customWidth="1"/>
    <col min="14084" max="14084" width="11" style="66" bestFit="1" customWidth="1"/>
    <col min="14085" max="14085" width="13" style="66" bestFit="1" customWidth="1"/>
    <col min="14086" max="14086" width="3.88671875" style="66" customWidth="1"/>
    <col min="14087" max="14087" width="10.5546875" style="66" bestFit="1" customWidth="1"/>
    <col min="14088" max="14088" width="10.6640625" style="66" bestFit="1" customWidth="1"/>
    <col min="14089" max="14089" width="12.44140625" style="66" customWidth="1"/>
    <col min="14090" max="14090" width="11.33203125" style="66" bestFit="1" customWidth="1"/>
    <col min="14091" max="14091" width="10.5546875" style="66" customWidth="1"/>
    <col min="14092" max="14092" width="3.88671875" style="66" customWidth="1"/>
    <col min="14093" max="14093" width="0" style="66" hidden="1" customWidth="1"/>
    <col min="14094" max="14094" width="8.6640625" style="66" bestFit="1" customWidth="1"/>
    <col min="14095" max="14095" width="8.6640625" style="66" customWidth="1"/>
    <col min="14096" max="14336" width="11.44140625" style="66"/>
    <col min="14337" max="14337" width="10.44140625" style="66" bestFit="1" customWidth="1"/>
    <col min="14338" max="14338" width="12" style="66" bestFit="1" customWidth="1"/>
    <col min="14339" max="14339" width="14" style="66" bestFit="1" customWidth="1"/>
    <col min="14340" max="14340" width="11" style="66" bestFit="1" customWidth="1"/>
    <col min="14341" max="14341" width="13" style="66" bestFit="1" customWidth="1"/>
    <col min="14342" max="14342" width="3.88671875" style="66" customWidth="1"/>
    <col min="14343" max="14343" width="10.5546875" style="66" bestFit="1" customWidth="1"/>
    <col min="14344" max="14344" width="10.6640625" style="66" bestFit="1" customWidth="1"/>
    <col min="14345" max="14345" width="12.44140625" style="66" customWidth="1"/>
    <col min="14346" max="14346" width="11.33203125" style="66" bestFit="1" customWidth="1"/>
    <col min="14347" max="14347" width="10.5546875" style="66" customWidth="1"/>
    <col min="14348" max="14348" width="3.88671875" style="66" customWidth="1"/>
    <col min="14349" max="14349" width="0" style="66" hidden="1" customWidth="1"/>
    <col min="14350" max="14350" width="8.6640625" style="66" bestFit="1" customWidth="1"/>
    <col min="14351" max="14351" width="8.6640625" style="66" customWidth="1"/>
    <col min="14352" max="14592" width="11.44140625" style="66"/>
    <col min="14593" max="14593" width="10.44140625" style="66" bestFit="1" customWidth="1"/>
    <col min="14594" max="14594" width="12" style="66" bestFit="1" customWidth="1"/>
    <col min="14595" max="14595" width="14" style="66" bestFit="1" customWidth="1"/>
    <col min="14596" max="14596" width="11" style="66" bestFit="1" customWidth="1"/>
    <col min="14597" max="14597" width="13" style="66" bestFit="1" customWidth="1"/>
    <col min="14598" max="14598" width="3.88671875" style="66" customWidth="1"/>
    <col min="14599" max="14599" width="10.5546875" style="66" bestFit="1" customWidth="1"/>
    <col min="14600" max="14600" width="10.6640625" style="66" bestFit="1" customWidth="1"/>
    <col min="14601" max="14601" width="12.44140625" style="66" customWidth="1"/>
    <col min="14602" max="14602" width="11.33203125" style="66" bestFit="1" customWidth="1"/>
    <col min="14603" max="14603" width="10.5546875" style="66" customWidth="1"/>
    <col min="14604" max="14604" width="3.88671875" style="66" customWidth="1"/>
    <col min="14605" max="14605" width="0" style="66" hidden="1" customWidth="1"/>
    <col min="14606" max="14606" width="8.6640625" style="66" bestFit="1" customWidth="1"/>
    <col min="14607" max="14607" width="8.6640625" style="66" customWidth="1"/>
    <col min="14608" max="14848" width="11.44140625" style="66"/>
    <col min="14849" max="14849" width="10.44140625" style="66" bestFit="1" customWidth="1"/>
    <col min="14850" max="14850" width="12" style="66" bestFit="1" customWidth="1"/>
    <col min="14851" max="14851" width="14" style="66" bestFit="1" customWidth="1"/>
    <col min="14852" max="14852" width="11" style="66" bestFit="1" customWidth="1"/>
    <col min="14853" max="14853" width="13" style="66" bestFit="1" customWidth="1"/>
    <col min="14854" max="14854" width="3.88671875" style="66" customWidth="1"/>
    <col min="14855" max="14855" width="10.5546875" style="66" bestFit="1" customWidth="1"/>
    <col min="14856" max="14856" width="10.6640625" style="66" bestFit="1" customWidth="1"/>
    <col min="14857" max="14857" width="12.44140625" style="66" customWidth="1"/>
    <col min="14858" max="14858" width="11.33203125" style="66" bestFit="1" customWidth="1"/>
    <col min="14859" max="14859" width="10.5546875" style="66" customWidth="1"/>
    <col min="14860" max="14860" width="3.88671875" style="66" customWidth="1"/>
    <col min="14861" max="14861" width="0" style="66" hidden="1" customWidth="1"/>
    <col min="14862" max="14862" width="8.6640625" style="66" bestFit="1" customWidth="1"/>
    <col min="14863" max="14863" width="8.6640625" style="66" customWidth="1"/>
    <col min="14864" max="15104" width="11.44140625" style="66"/>
    <col min="15105" max="15105" width="10.44140625" style="66" bestFit="1" customWidth="1"/>
    <col min="15106" max="15106" width="12" style="66" bestFit="1" customWidth="1"/>
    <col min="15107" max="15107" width="14" style="66" bestFit="1" customWidth="1"/>
    <col min="15108" max="15108" width="11" style="66" bestFit="1" customWidth="1"/>
    <col min="15109" max="15109" width="13" style="66" bestFit="1" customWidth="1"/>
    <col min="15110" max="15110" width="3.88671875" style="66" customWidth="1"/>
    <col min="15111" max="15111" width="10.5546875" style="66" bestFit="1" customWidth="1"/>
    <col min="15112" max="15112" width="10.6640625" style="66" bestFit="1" customWidth="1"/>
    <col min="15113" max="15113" width="12.44140625" style="66" customWidth="1"/>
    <col min="15114" max="15114" width="11.33203125" style="66" bestFit="1" customWidth="1"/>
    <col min="15115" max="15115" width="10.5546875" style="66" customWidth="1"/>
    <col min="15116" max="15116" width="3.88671875" style="66" customWidth="1"/>
    <col min="15117" max="15117" width="0" style="66" hidden="1" customWidth="1"/>
    <col min="15118" max="15118" width="8.6640625" style="66" bestFit="1" customWidth="1"/>
    <col min="15119" max="15119" width="8.6640625" style="66" customWidth="1"/>
    <col min="15120" max="15360" width="11.44140625" style="66"/>
    <col min="15361" max="15361" width="10.44140625" style="66" bestFit="1" customWidth="1"/>
    <col min="15362" max="15362" width="12" style="66" bestFit="1" customWidth="1"/>
    <col min="15363" max="15363" width="14" style="66" bestFit="1" customWidth="1"/>
    <col min="15364" max="15364" width="11" style="66" bestFit="1" customWidth="1"/>
    <col min="15365" max="15365" width="13" style="66" bestFit="1" customWidth="1"/>
    <col min="15366" max="15366" width="3.88671875" style="66" customWidth="1"/>
    <col min="15367" max="15367" width="10.5546875" style="66" bestFit="1" customWidth="1"/>
    <col min="15368" max="15368" width="10.6640625" style="66" bestFit="1" customWidth="1"/>
    <col min="15369" max="15369" width="12.44140625" style="66" customWidth="1"/>
    <col min="15370" max="15370" width="11.33203125" style="66" bestFit="1" customWidth="1"/>
    <col min="15371" max="15371" width="10.5546875" style="66" customWidth="1"/>
    <col min="15372" max="15372" width="3.88671875" style="66" customWidth="1"/>
    <col min="15373" max="15373" width="0" style="66" hidden="1" customWidth="1"/>
    <col min="15374" max="15374" width="8.6640625" style="66" bestFit="1" customWidth="1"/>
    <col min="15375" max="15375" width="8.6640625" style="66" customWidth="1"/>
    <col min="15376" max="15616" width="11.44140625" style="66"/>
    <col min="15617" max="15617" width="10.44140625" style="66" bestFit="1" customWidth="1"/>
    <col min="15618" max="15618" width="12" style="66" bestFit="1" customWidth="1"/>
    <col min="15619" max="15619" width="14" style="66" bestFit="1" customWidth="1"/>
    <col min="15620" max="15620" width="11" style="66" bestFit="1" customWidth="1"/>
    <col min="15621" max="15621" width="13" style="66" bestFit="1" customWidth="1"/>
    <col min="15622" max="15622" width="3.88671875" style="66" customWidth="1"/>
    <col min="15623" max="15623" width="10.5546875" style="66" bestFit="1" customWidth="1"/>
    <col min="15624" max="15624" width="10.6640625" style="66" bestFit="1" customWidth="1"/>
    <col min="15625" max="15625" width="12.44140625" style="66" customWidth="1"/>
    <col min="15626" max="15626" width="11.33203125" style="66" bestFit="1" customWidth="1"/>
    <col min="15627" max="15627" width="10.5546875" style="66" customWidth="1"/>
    <col min="15628" max="15628" width="3.88671875" style="66" customWidth="1"/>
    <col min="15629" max="15629" width="0" style="66" hidden="1" customWidth="1"/>
    <col min="15630" max="15630" width="8.6640625" style="66" bestFit="1" customWidth="1"/>
    <col min="15631" max="15631" width="8.6640625" style="66" customWidth="1"/>
    <col min="15632" max="15872" width="11.44140625" style="66"/>
    <col min="15873" max="15873" width="10.44140625" style="66" bestFit="1" customWidth="1"/>
    <col min="15874" max="15874" width="12" style="66" bestFit="1" customWidth="1"/>
    <col min="15875" max="15875" width="14" style="66" bestFit="1" customWidth="1"/>
    <col min="15876" max="15876" width="11" style="66" bestFit="1" customWidth="1"/>
    <col min="15877" max="15877" width="13" style="66" bestFit="1" customWidth="1"/>
    <col min="15878" max="15878" width="3.88671875" style="66" customWidth="1"/>
    <col min="15879" max="15879" width="10.5546875" style="66" bestFit="1" customWidth="1"/>
    <col min="15880" max="15880" width="10.6640625" style="66" bestFit="1" customWidth="1"/>
    <col min="15881" max="15881" width="12.44140625" style="66" customWidth="1"/>
    <col min="15882" max="15882" width="11.33203125" style="66" bestFit="1" customWidth="1"/>
    <col min="15883" max="15883" width="10.5546875" style="66" customWidth="1"/>
    <col min="15884" max="15884" width="3.88671875" style="66" customWidth="1"/>
    <col min="15885" max="15885" width="0" style="66" hidden="1" customWidth="1"/>
    <col min="15886" max="15886" width="8.6640625" style="66" bestFit="1" customWidth="1"/>
    <col min="15887" max="15887" width="8.6640625" style="66" customWidth="1"/>
    <col min="15888" max="16128" width="11.44140625" style="66"/>
    <col min="16129" max="16129" width="10.44140625" style="66" bestFit="1" customWidth="1"/>
    <col min="16130" max="16130" width="12" style="66" bestFit="1" customWidth="1"/>
    <col min="16131" max="16131" width="14" style="66" bestFit="1" customWidth="1"/>
    <col min="16132" max="16132" width="11" style="66" bestFit="1" customWidth="1"/>
    <col min="16133" max="16133" width="13" style="66" bestFit="1" customWidth="1"/>
    <col min="16134" max="16134" width="3.88671875" style="66" customWidth="1"/>
    <col min="16135" max="16135" width="10.5546875" style="66" bestFit="1" customWidth="1"/>
    <col min="16136" max="16136" width="10.6640625" style="66" bestFit="1" customWidth="1"/>
    <col min="16137" max="16137" width="12.44140625" style="66" customWidth="1"/>
    <col min="16138" max="16138" width="11.33203125" style="66" bestFit="1" customWidth="1"/>
    <col min="16139" max="16139" width="10.5546875" style="66" customWidth="1"/>
    <col min="16140" max="16140" width="3.88671875" style="66" customWidth="1"/>
    <col min="16141" max="16141" width="0" style="66" hidden="1" customWidth="1"/>
    <col min="16142" max="16142" width="8.6640625" style="66" bestFit="1" customWidth="1"/>
    <col min="16143" max="16143" width="8.6640625" style="66" customWidth="1"/>
    <col min="16144" max="16384" width="11.44140625" style="66"/>
  </cols>
  <sheetData>
    <row r="1" spans="1:15" s="58" customFormat="1" x14ac:dyDescent="0.4">
      <c r="A1" s="55" t="s">
        <v>30</v>
      </c>
      <c r="B1" s="56" t="s">
        <v>31</v>
      </c>
      <c r="C1" s="55" t="s">
        <v>32</v>
      </c>
      <c r="D1" s="56" t="s">
        <v>33</v>
      </c>
      <c r="E1" s="56" t="s">
        <v>34</v>
      </c>
      <c r="F1" s="56"/>
      <c r="G1" s="55" t="s">
        <v>30</v>
      </c>
      <c r="H1" s="56" t="s">
        <v>35</v>
      </c>
      <c r="I1" s="57" t="s">
        <v>36</v>
      </c>
      <c r="J1" s="56" t="s">
        <v>37</v>
      </c>
      <c r="K1" s="55" t="s">
        <v>30</v>
      </c>
      <c r="L1" s="56"/>
      <c r="N1" s="59" t="s">
        <v>38</v>
      </c>
      <c r="O1" s="60"/>
    </row>
    <row r="2" spans="1:15" x14ac:dyDescent="0.4">
      <c r="A2" s="61">
        <v>0</v>
      </c>
      <c r="B2" s="62">
        <f t="shared" ref="B2:B65" si="0">A2-0.1</f>
        <v>-0.1</v>
      </c>
      <c r="C2" s="62">
        <f>611.14*EXP(17.269*(((273.16+A2)-273.16)/((273.16+A2)-35.86)))</f>
        <v>611.14</v>
      </c>
      <c r="D2" s="62">
        <f t="shared" ref="D2:D65" si="1">$N$2-C2</f>
        <v>100713.86</v>
      </c>
      <c r="E2" s="62">
        <f t="shared" ref="E2:E65" si="2">I2*1000</f>
        <v>3.7663959643892997</v>
      </c>
      <c r="G2" s="61">
        <v>0</v>
      </c>
      <c r="H2" s="62">
        <f t="shared" ref="H2:H65" si="3">(((1.005+(1.88*(E2/1000)))*A2)+(2487*(E2/1000)))</f>
        <v>9.3670267634361881</v>
      </c>
      <c r="I2" s="63">
        <f>(18/29)*(C2/($N$2-C2))</f>
        <v>3.7663959643892998E-3</v>
      </c>
      <c r="J2" s="64">
        <f t="shared" ref="J2:J65" si="4">((22.41/273)*(A2+273))*((1/28.96)+((1/18.1)*I2))</f>
        <v>0.77848922284872735</v>
      </c>
      <c r="K2" s="61">
        <v>0</v>
      </c>
      <c r="L2" s="65"/>
      <c r="M2" s="66"/>
      <c r="N2" s="59">
        <v>101325</v>
      </c>
      <c r="O2" s="58"/>
    </row>
    <row r="3" spans="1:15" x14ac:dyDescent="0.4">
      <c r="A3" s="61">
        <v>0.5</v>
      </c>
      <c r="B3" s="62">
        <f t="shared" si="0"/>
        <v>0.4</v>
      </c>
      <c r="C3" s="62">
        <f>611.14*EXP(17.269*(((273.16+A3)-273.16)/((273.16+A3)-35.86)))</f>
        <v>633.73823447394739</v>
      </c>
      <c r="D3" s="62">
        <f t="shared" si="1"/>
        <v>100691.26176552605</v>
      </c>
      <c r="E3" s="62">
        <f t="shared" si="2"/>
        <v>3.9065432226005008</v>
      </c>
      <c r="G3" s="61">
        <v>0.5</v>
      </c>
      <c r="H3" s="62">
        <f>(((1.005+(1.88*(E3/1000)))*A3)+(2487*(E3/1000)))</f>
        <v>10.221745145236689</v>
      </c>
      <c r="I3" s="63">
        <f>(18/29)*(C3/($N$2-C3))</f>
        <v>3.9065432226005007E-3</v>
      </c>
      <c r="J3" s="64">
        <f>((22.41/273)*(A3+273))*((1/28.96)+((1/18.1)*I3))</f>
        <v>0.7800888644273074</v>
      </c>
      <c r="K3" s="61">
        <v>0.5</v>
      </c>
      <c r="L3" s="65"/>
      <c r="M3" s="66"/>
    </row>
    <row r="4" spans="1:15" x14ac:dyDescent="0.4">
      <c r="A4" s="61">
        <v>1</v>
      </c>
      <c r="B4" s="62">
        <f t="shared" si="0"/>
        <v>0.9</v>
      </c>
      <c r="C4" s="62">
        <f t="shared" ref="C4:C67" si="5">611.14*EXP(17.269*(((273.16+A4)-273.16)/((273.16+A4)-35.86)))</f>
        <v>657.07196185169926</v>
      </c>
      <c r="D4" s="62">
        <f t="shared" si="1"/>
        <v>100667.9280381483</v>
      </c>
      <c r="E4" s="62">
        <f t="shared" si="2"/>
        <v>4.0513178067064404</v>
      </c>
      <c r="G4" s="61">
        <v>1</v>
      </c>
      <c r="H4" s="62">
        <f t="shared" si="3"/>
        <v>11.088243862755522</v>
      </c>
      <c r="I4" s="63">
        <f t="shared" ref="I4:I67" si="6">(18/29)*(C4/($N$2-C4))</f>
        <v>4.05131780670644E-3</v>
      </c>
      <c r="J4" s="64">
        <f t="shared" si="4"/>
        <v>0.78169489178581186</v>
      </c>
      <c r="K4" s="61">
        <v>1</v>
      </c>
      <c r="L4" s="65"/>
      <c r="M4" s="66"/>
      <c r="N4" s="67"/>
      <c r="O4" s="67"/>
    </row>
    <row r="5" spans="1:15" x14ac:dyDescent="0.4">
      <c r="A5" s="61">
        <v>1.5</v>
      </c>
      <c r="B5" s="62">
        <f t="shared" si="0"/>
        <v>1.4</v>
      </c>
      <c r="C5" s="62">
        <f t="shared" si="5"/>
        <v>681.16167322142337</v>
      </c>
      <c r="D5" s="62">
        <f t="shared" si="1"/>
        <v>100643.83832677858</v>
      </c>
      <c r="E5" s="62">
        <f t="shared" si="2"/>
        <v>4.2008533368502974</v>
      </c>
      <c r="G5" s="61">
        <v>1.5</v>
      </c>
      <c r="H5" s="62">
        <f t="shared" si="3"/>
        <v>11.966868655156608</v>
      </c>
      <c r="I5" s="63">
        <f t="shared" si="6"/>
        <v>4.2008533368502977E-3</v>
      </c>
      <c r="J5" s="64">
        <f t="shared" si="4"/>
        <v>0.78330750275029559</v>
      </c>
      <c r="K5" s="61">
        <v>1.5</v>
      </c>
      <c r="L5" s="65"/>
      <c r="M5" s="66"/>
    </row>
    <row r="6" spans="1:15" x14ac:dyDescent="0.4">
      <c r="A6" s="61">
        <v>2</v>
      </c>
      <c r="B6" s="62">
        <f t="shared" si="0"/>
        <v>1.9</v>
      </c>
      <c r="C6" s="62">
        <f t="shared" si="5"/>
        <v>706.02832654109068</v>
      </c>
      <c r="D6" s="62">
        <f t="shared" si="1"/>
        <v>100618.97167345892</v>
      </c>
      <c r="E6" s="62">
        <f t="shared" si="2"/>
        <v>4.3552867938754742</v>
      </c>
      <c r="G6" s="61">
        <v>2</v>
      </c>
      <c r="H6" s="62">
        <f t="shared" si="3"/>
        <v>12.857974134713276</v>
      </c>
      <c r="I6" s="63">
        <f t="shared" si="6"/>
        <v>4.3552867938754739E-3</v>
      </c>
      <c r="J6" s="64">
        <f t="shared" si="4"/>
        <v>0.78492690055025127</v>
      </c>
      <c r="K6" s="61">
        <v>2</v>
      </c>
      <c r="L6" s="65"/>
      <c r="M6" s="66"/>
    </row>
    <row r="7" spans="1:15" x14ac:dyDescent="0.4">
      <c r="A7" s="61">
        <v>2.5</v>
      </c>
      <c r="B7" s="62">
        <f t="shared" si="0"/>
        <v>2.4</v>
      </c>
      <c r="C7" s="62">
        <f t="shared" si="5"/>
        <v>731.69335459137551</v>
      </c>
      <c r="D7" s="62">
        <f t="shared" si="1"/>
        <v>100593.30664540862</v>
      </c>
      <c r="E7" s="62">
        <f t="shared" si="2"/>
        <v>4.5147585967539774</v>
      </c>
      <c r="G7" s="61">
        <v>2.5</v>
      </c>
      <c r="H7" s="62">
        <f t="shared" si="3"/>
        <v>13.761923995531887</v>
      </c>
      <c r="I7" s="63">
        <f t="shared" si="6"/>
        <v>4.5147585967539776E-3</v>
      </c>
      <c r="J7" s="64">
        <f t="shared" si="4"/>
        <v>0.78655329395345819</v>
      </c>
      <c r="K7" s="61">
        <v>2.5</v>
      </c>
      <c r="L7" s="65"/>
      <c r="M7" s="66"/>
    </row>
    <row r="8" spans="1:15" x14ac:dyDescent="0.4">
      <c r="A8" s="61">
        <v>3</v>
      </c>
      <c r="B8" s="62">
        <f t="shared" si="0"/>
        <v>2.9</v>
      </c>
      <c r="C8" s="62">
        <f>611.14*EXP(17.269*(((273.16+A8)-273.16)/((273.16+A8)-35.86)))</f>
        <v>758.1786730067455</v>
      </c>
      <c r="D8" s="62">
        <f>$N$2-C8</f>
        <v>100566.82132699326</v>
      </c>
      <c r="E8" s="62">
        <f t="shared" si="2"/>
        <v>4.6794126820166539</v>
      </c>
      <c r="G8" s="61">
        <v>3</v>
      </c>
      <c r="H8" s="62">
        <f t="shared" si="3"/>
        <v>14.679091227701992</v>
      </c>
      <c r="I8" s="63">
        <f t="shared" si="6"/>
        <v>4.6794126820166541E-3</v>
      </c>
      <c r="J8" s="64">
        <f t="shared" si="4"/>
        <v>0.78818689740438808</v>
      </c>
      <c r="K8" s="61">
        <v>3</v>
      </c>
      <c r="L8" s="65"/>
      <c r="M8" s="66"/>
    </row>
    <row r="9" spans="1:15" x14ac:dyDescent="0.4">
      <c r="A9" s="61">
        <v>3.5</v>
      </c>
      <c r="B9" s="62">
        <f t="shared" si="0"/>
        <v>3.4</v>
      </c>
      <c r="C9" s="62">
        <f t="shared" si="5"/>
        <v>785.50668838452327</v>
      </c>
      <c r="D9" s="62">
        <f t="shared" si="1"/>
        <v>100539.49331161547</v>
      </c>
      <c r="E9" s="62">
        <f t="shared" si="2"/>
        <v>4.8493965852589636</v>
      </c>
      <c r="G9" s="61">
        <v>3.5</v>
      </c>
      <c r="H9" s="62">
        <f t="shared" si="3"/>
        <v>15.609858337070046</v>
      </c>
      <c r="I9" s="63">
        <f t="shared" si="6"/>
        <v>4.8493965852589634E-3</v>
      </c>
      <c r="J9" s="64">
        <f t="shared" si="4"/>
        <v>0.78982793116629602</v>
      </c>
      <c r="K9" s="61">
        <v>3.5</v>
      </c>
      <c r="L9" s="65"/>
      <c r="M9" s="66"/>
    </row>
    <row r="10" spans="1:15" x14ac:dyDescent="0.4">
      <c r="A10" s="61">
        <v>4</v>
      </c>
      <c r="B10" s="62">
        <f t="shared" si="0"/>
        <v>3.9</v>
      </c>
      <c r="C10" s="62">
        <f t="shared" si="5"/>
        <v>813.7003064716929</v>
      </c>
      <c r="D10" s="62">
        <f t="shared" si="1"/>
        <v>100511.2996935283</v>
      </c>
      <c r="E10" s="62">
        <f t="shared" si="2"/>
        <v>5.0248615247995039</v>
      </c>
      <c r="G10" s="61">
        <v>4</v>
      </c>
      <c r="H10" s="62">
        <f t="shared" si="3"/>
        <v>16.554617570842858</v>
      </c>
      <c r="I10" s="63">
        <f t="shared" si="6"/>
        <v>5.0248615247995036E-3</v>
      </c>
      <c r="J10" s="64">
        <f t="shared" si="4"/>
        <v>0.79147662146712405</v>
      </c>
      <c r="K10" s="61">
        <v>4</v>
      </c>
      <c r="L10" s="65"/>
      <c r="M10" s="66"/>
    </row>
    <row r="11" spans="1:15" x14ac:dyDescent="0.4">
      <c r="A11" s="61">
        <v>4.5</v>
      </c>
      <c r="B11" s="62">
        <f t="shared" si="0"/>
        <v>4.4000000000000004</v>
      </c>
      <c r="C11" s="62">
        <f t="shared" si="5"/>
        <v>842.78294042920345</v>
      </c>
      <c r="D11" s="62">
        <f t="shared" si="1"/>
        <v>100482.2170595708</v>
      </c>
      <c r="E11" s="62">
        <f t="shared" si="2"/>
        <v>5.2059624875720232</v>
      </c>
      <c r="G11" s="61">
        <v>4.5</v>
      </c>
      <c r="H11" s="62">
        <f t="shared" si="3"/>
        <v>17.513771149236479</v>
      </c>
      <c r="I11" s="63">
        <f t="shared" si="6"/>
        <v>5.2059624875720233E-3</v>
      </c>
      <c r="J11" s="64">
        <f t="shared" si="4"/>
        <v>0.79313320064935366</v>
      </c>
      <c r="K11" s="61">
        <v>4.5</v>
      </c>
      <c r="L11" s="65"/>
      <c r="M11" s="66"/>
    </row>
    <row r="12" spans="1:15" x14ac:dyDescent="0.4">
      <c r="A12" s="61">
        <v>5</v>
      </c>
      <c r="B12" s="62">
        <f t="shared" si="0"/>
        <v>4.9000000000000004</v>
      </c>
      <c r="C12" s="62">
        <f t="shared" si="5"/>
        <v>872.77851917350927</v>
      </c>
      <c r="D12" s="62">
        <f t="shared" si="1"/>
        <v>100452.2214808265</v>
      </c>
      <c r="E12" s="62">
        <f t="shared" si="2"/>
        <v>5.392858317335425</v>
      </c>
      <c r="G12" s="61">
        <v>5</v>
      </c>
      <c r="H12" s="62">
        <f t="shared" si="3"/>
        <v>18.487731503396155</v>
      </c>
      <c r="I12" s="63">
        <f t="shared" si="6"/>
        <v>5.3928583173354248E-3</v>
      </c>
      <c r="J12" s="64">
        <f t="shared" si="4"/>
        <v>0.79479790732394995</v>
      </c>
      <c r="K12" s="61">
        <v>5</v>
      </c>
      <c r="L12" s="65"/>
      <c r="M12" s="66"/>
    </row>
    <row r="13" spans="1:15" x14ac:dyDescent="0.4">
      <c r="A13" s="61">
        <v>5.5</v>
      </c>
      <c r="B13" s="62">
        <f t="shared" si="0"/>
        <v>5.4</v>
      </c>
      <c r="C13" s="62">
        <f t="shared" si="5"/>
        <v>903.71149579507028</v>
      </c>
      <c r="D13" s="62">
        <f t="shared" si="1"/>
        <v>100421.28850420493</v>
      </c>
      <c r="E13" s="62">
        <f t="shared" si="2"/>
        <v>5.5857118052901793</v>
      </c>
      <c r="G13" s="61">
        <v>5.5</v>
      </c>
      <c r="H13" s="62">
        <f t="shared" si="3"/>
        <v>19.476921519823378</v>
      </c>
      <c r="I13" s="63">
        <f t="shared" si="6"/>
        <v>5.5857118052901793E-3</v>
      </c>
      <c r="J13" s="64">
        <f t="shared" si="4"/>
        <v>0.7964709865285452</v>
      </c>
      <c r="K13" s="61">
        <v>5.5</v>
      </c>
      <c r="L13" s="65"/>
      <c r="M13" s="66"/>
    </row>
    <row r="14" spans="1:15" x14ac:dyDescent="0.4">
      <c r="A14" s="61">
        <v>6</v>
      </c>
      <c r="B14" s="62">
        <f t="shared" si="0"/>
        <v>5.9</v>
      </c>
      <c r="C14" s="62">
        <f t="shared" si="5"/>
        <v>935.60685605351853</v>
      </c>
      <c r="D14" s="62">
        <f t="shared" si="1"/>
        <v>100389.39314394648</v>
      </c>
      <c r="E14" s="62">
        <f t="shared" si="2"/>
        <v>5.7846897831937172</v>
      </c>
      <c r="G14" s="61">
        <v>6</v>
      </c>
      <c r="H14" s="62">
        <f t="shared" si="3"/>
        <v>20.4817747915572</v>
      </c>
      <c r="I14" s="63">
        <f t="shared" si="6"/>
        <v>5.7846897831937173E-3</v>
      </c>
      <c r="J14" s="64">
        <f t="shared" si="4"/>
        <v>0.79815268989001742</v>
      </c>
      <c r="K14" s="61">
        <v>6</v>
      </c>
      <c r="L14" s="65"/>
      <c r="M14" s="66"/>
    </row>
    <row r="15" spans="1:15" x14ac:dyDescent="0.4">
      <c r="A15" s="61">
        <v>6.5</v>
      </c>
      <c r="B15" s="62">
        <f t="shared" si="0"/>
        <v>6.4</v>
      </c>
      <c r="C15" s="62">
        <f t="shared" si="5"/>
        <v>968.49012694918486</v>
      </c>
      <c r="D15" s="62">
        <f t="shared" si="1"/>
        <v>100356.50987305082</v>
      </c>
      <c r="E15" s="62">
        <f t="shared" si="2"/>
        <v>5.9899632190716652</v>
      </c>
      <c r="G15" s="61">
        <v>6.5</v>
      </c>
      <c r="H15" s="62">
        <f t="shared" si="3"/>
        <v>21.502735876368284</v>
      </c>
      <c r="I15" s="63">
        <f t="shared" si="6"/>
        <v>5.9899632190716654E-3</v>
      </c>
      <c r="J15" s="64">
        <f t="shared" si="4"/>
        <v>0.79984327579162606</v>
      </c>
      <c r="K15" s="61">
        <v>6.5</v>
      </c>
      <c r="L15" s="65"/>
      <c r="M15" s="66"/>
    </row>
    <row r="16" spans="1:15" x14ac:dyDescent="0.4">
      <c r="A16" s="61">
        <v>7</v>
      </c>
      <c r="B16" s="62">
        <f t="shared" si="0"/>
        <v>6.9</v>
      </c>
      <c r="C16" s="62">
        <f t="shared" si="5"/>
        <v>1002.3873853706591</v>
      </c>
      <c r="D16" s="62">
        <f t="shared" si="1"/>
        <v>100322.61261462934</v>
      </c>
      <c r="E16" s="62">
        <f t="shared" si="2"/>
        <v>6.2017073156263187</v>
      </c>
      <c r="G16" s="61">
        <v>7</v>
      </c>
      <c r="H16" s="62">
        <f t="shared" si="3"/>
        <v>22.540260562236295</v>
      </c>
      <c r="I16" s="63">
        <f t="shared" si="6"/>
        <v>6.2017073156263184E-3</v>
      </c>
      <c r="J16" s="64">
        <f t="shared" si="4"/>
        <v>0.80154300954487523</v>
      </c>
      <c r="K16" s="61">
        <v>7</v>
      </c>
      <c r="L16" s="65"/>
      <c r="M16" s="66"/>
    </row>
    <row r="17" spans="1:13" x14ac:dyDescent="0.4">
      <c r="A17" s="61">
        <v>7.5</v>
      </c>
      <c r="B17" s="62">
        <f t="shared" si="0"/>
        <v>7.4</v>
      </c>
      <c r="C17" s="62">
        <f t="shared" si="5"/>
        <v>1037.3252668180478</v>
      </c>
      <c r="D17" s="62">
        <f t="shared" si="1"/>
        <v>100287.67473318195</v>
      </c>
      <c r="E17" s="62">
        <f t="shared" si="2"/>
        <v>6.4201016114485174</v>
      </c>
      <c r="G17" s="61">
        <v>7.5</v>
      </c>
      <c r="H17" s="62">
        <f t="shared" si="3"/>
        <v>23.594816140393888</v>
      </c>
      <c r="I17" s="63">
        <f t="shared" si="6"/>
        <v>6.4201016114485178E-3</v>
      </c>
      <c r="J17" s="64">
        <f t="shared" si="4"/>
        <v>0.80325216356628293</v>
      </c>
      <c r="K17" s="61">
        <v>7.5</v>
      </c>
      <c r="L17" s="65"/>
      <c r="M17" s="66"/>
    </row>
    <row r="18" spans="1:13" x14ac:dyDescent="0.4">
      <c r="A18" s="61">
        <v>8</v>
      </c>
      <c r="B18" s="62">
        <f t="shared" si="0"/>
        <v>7.9</v>
      </c>
      <c r="C18" s="62">
        <f t="shared" si="5"/>
        <v>1073.3309742015704</v>
      </c>
      <c r="D18" s="62">
        <f t="shared" si="1"/>
        <v>100251.66902579843</v>
      </c>
      <c r="E18" s="62">
        <f t="shared" si="2"/>
        <v>6.6453300851440646</v>
      </c>
      <c r="G18" s="61">
        <v>8</v>
      </c>
      <c r="H18" s="62">
        <f t="shared" si="3"/>
        <v>24.666881686233854</v>
      </c>
      <c r="I18" s="63">
        <f t="shared" si="6"/>
        <v>6.645330085144065E-3</v>
      </c>
      <c r="J18" s="64">
        <f t="shared" si="4"/>
        <v>0.80497101755923961</v>
      </c>
      <c r="K18" s="61">
        <v>8</v>
      </c>
      <c r="L18" s="65"/>
      <c r="M18" s="66"/>
    </row>
    <row r="19" spans="1:13" x14ac:dyDescent="0.4">
      <c r="A19" s="61">
        <v>8.5</v>
      </c>
      <c r="B19" s="62">
        <f t="shared" si="0"/>
        <v>8.4</v>
      </c>
      <c r="C19" s="62">
        <f t="shared" si="5"/>
        <v>1110.4322867151302</v>
      </c>
      <c r="D19" s="62">
        <f t="shared" si="1"/>
        <v>100214.56771328487</v>
      </c>
      <c r="E19" s="62">
        <f t="shared" si="2"/>
        <v>6.8775812624910557</v>
      </c>
      <c r="G19" s="61">
        <v>8.5</v>
      </c>
      <c r="H19" s="62">
        <f t="shared" si="3"/>
        <v>25.756948348389862</v>
      </c>
      <c r="I19" s="63">
        <f t="shared" si="6"/>
        <v>6.8775812624910556E-3</v>
      </c>
      <c r="J19" s="64">
        <f t="shared" si="4"/>
        <v>0.80669985870115524</v>
      </c>
      <c r="K19" s="61">
        <v>8.5</v>
      </c>
      <c r="L19" s="65"/>
      <c r="M19" s="66"/>
    </row>
    <row r="20" spans="1:13" x14ac:dyDescent="0.4">
      <c r="A20" s="61">
        <v>9</v>
      </c>
      <c r="B20" s="62">
        <f t="shared" si="0"/>
        <v>8.9</v>
      </c>
      <c r="C20" s="62">
        <f t="shared" si="5"/>
        <v>1148.6575687844665</v>
      </c>
      <c r="D20" s="62">
        <f t="shared" si="1"/>
        <v>100176.34243121554</v>
      </c>
      <c r="E20" s="62">
        <f t="shared" si="2"/>
        <v>7.1170483267499609</v>
      </c>
      <c r="G20" s="61">
        <v>9</v>
      </c>
      <c r="H20" s="62">
        <f t="shared" si="3"/>
        <v>26.865519646315761</v>
      </c>
      <c r="I20" s="63">
        <f t="shared" si="6"/>
        <v>7.1170483267499612E-3</v>
      </c>
      <c r="J20" s="64">
        <f t="shared" si="4"/>
        <v>0.80843898183609497</v>
      </c>
      <c r="K20" s="61">
        <v>9</v>
      </c>
      <c r="L20" s="65"/>
      <c r="M20" s="66"/>
    </row>
    <row r="21" spans="1:13" x14ac:dyDescent="0.4">
      <c r="A21" s="61">
        <v>9.5</v>
      </c>
      <c r="B21" s="62">
        <f t="shared" si="0"/>
        <v>9.4</v>
      </c>
      <c r="C21" s="62">
        <f t="shared" si="5"/>
        <v>1188.0357790894955</v>
      </c>
      <c r="D21" s="62">
        <f t="shared" si="1"/>
        <v>100136.96422091051</v>
      </c>
      <c r="E21" s="62">
        <f t="shared" si="2"/>
        <v>7.3639292322541312</v>
      </c>
      <c r="G21" s="61">
        <v>9.5</v>
      </c>
      <c r="H21" s="62">
        <f t="shared" si="3"/>
        <v>27.993111776704083</v>
      </c>
      <c r="I21" s="63">
        <f t="shared" si="6"/>
        <v>7.3639292322541308E-3</v>
      </c>
      <c r="J21" s="64">
        <f t="shared" si="4"/>
        <v>0.81018868967311963</v>
      </c>
      <c r="K21" s="61">
        <v>9.5</v>
      </c>
      <c r="L21" s="65"/>
      <c r="M21" s="66"/>
    </row>
    <row r="22" spans="1:13" x14ac:dyDescent="0.4">
      <c r="A22" s="61">
        <v>10</v>
      </c>
      <c r="B22" s="62">
        <f t="shared" si="0"/>
        <v>9.9</v>
      </c>
      <c r="C22" s="62">
        <f t="shared" si="5"/>
        <v>1228.5964796604169</v>
      </c>
      <c r="D22" s="62">
        <f t="shared" si="1"/>
        <v>100096.40352033958</v>
      </c>
      <c r="E22" s="62">
        <f t="shared" si="2"/>
        <v>7.6184268214143183</v>
      </c>
      <c r="G22" s="61">
        <v>10</v>
      </c>
      <c r="H22" s="62">
        <f t="shared" si="3"/>
        <v>29.140253929099998</v>
      </c>
      <c r="I22" s="63">
        <f t="shared" si="6"/>
        <v>7.6184268214143187E-3</v>
      </c>
      <c r="J22" s="64">
        <f t="shared" si="4"/>
        <v>0.81194929299055207</v>
      </c>
      <c r="K22" s="61">
        <v>10</v>
      </c>
      <c r="L22" s="65"/>
      <c r="M22" s="66"/>
    </row>
    <row r="23" spans="1:13" x14ac:dyDescent="0.4">
      <c r="A23" s="61">
        <v>10.5</v>
      </c>
      <c r="B23" s="62">
        <f t="shared" si="0"/>
        <v>10.4</v>
      </c>
      <c r="C23" s="62">
        <f t="shared" si="5"/>
        <v>1270.3698450471602</v>
      </c>
      <c r="D23" s="62">
        <f t="shared" si="1"/>
        <v>100054.63015495284</v>
      </c>
      <c r="E23" s="62">
        <f t="shared" si="2"/>
        <v>7.880748945277297</v>
      </c>
      <c r="G23" s="61">
        <v>10.5</v>
      </c>
      <c r="H23" s="62">
        <f t="shared" si="3"/>
        <v>30.307488611084409</v>
      </c>
      <c r="I23" s="63">
        <f t="shared" si="6"/>
        <v>7.8807489452772973E-3</v>
      </c>
      <c r="J23" s="64">
        <f t="shared" si="4"/>
        <v>0.81372111084640664</v>
      </c>
      <c r="K23" s="61">
        <v>10.5</v>
      </c>
      <c r="L23" s="65"/>
      <c r="M23" s="66"/>
    </row>
    <row r="24" spans="1:13" x14ac:dyDescent="0.4">
      <c r="A24" s="61">
        <v>11</v>
      </c>
      <c r="B24" s="62">
        <f t="shared" si="0"/>
        <v>10.9</v>
      </c>
      <c r="C24" s="62">
        <f t="shared" si="5"/>
        <v>1313.3866715617226</v>
      </c>
      <c r="D24" s="62">
        <f t="shared" si="1"/>
        <v>100011.61332843828</v>
      </c>
      <c r="E24" s="62">
        <f t="shared" si="2"/>
        <v>8.1511085877852381</v>
      </c>
      <c r="G24" s="61">
        <v>11</v>
      </c>
      <c r="H24" s="62">
        <f t="shared" si="3"/>
        <v>31.495371983417282</v>
      </c>
      <c r="I24" s="63">
        <f t="shared" si="6"/>
        <v>8.1511085877852378E-3</v>
      </c>
      <c r="J24" s="64">
        <f t="shared" si="4"/>
        <v>0.81550447079522481</v>
      </c>
      <c r="K24" s="61">
        <v>11</v>
      </c>
      <c r="L24" s="65"/>
      <c r="M24" s="66"/>
    </row>
    <row r="25" spans="1:13" x14ac:dyDescent="0.4">
      <c r="A25" s="61">
        <v>11.5</v>
      </c>
      <c r="B25" s="62">
        <f t="shared" si="0"/>
        <v>11.4</v>
      </c>
      <c r="C25" s="62">
        <f t="shared" si="5"/>
        <v>1357.6783865929367</v>
      </c>
      <c r="D25" s="62">
        <f t="shared" si="1"/>
        <v>99967.321613407068</v>
      </c>
      <c r="E25" s="62">
        <f t="shared" si="2"/>
        <v>8.4297239938895299</v>
      </c>
      <c r="G25" s="61">
        <v>11.5</v>
      </c>
      <c r="H25" s="62">
        <f t="shared" si="3"/>
        <v>32.704474205551151</v>
      </c>
      <c r="I25" s="63">
        <f t="shared" si="6"/>
        <v>8.4297239938895298E-3</v>
      </c>
      <c r="J25" s="64">
        <f t="shared" si="4"/>
        <v>0.81729970911157446</v>
      </c>
      <c r="K25" s="61">
        <v>11.5</v>
      </c>
      <c r="L25" s="65"/>
      <c r="M25" s="66"/>
    </row>
    <row r="26" spans="1:13" x14ac:dyDescent="0.4">
      <c r="A26" s="61">
        <v>12</v>
      </c>
      <c r="B26" s="62">
        <f t="shared" si="0"/>
        <v>11.9</v>
      </c>
      <c r="C26" s="62">
        <f t="shared" si="5"/>
        <v>1403.277057993193</v>
      </c>
      <c r="D26" s="62">
        <f t="shared" si="1"/>
        <v>99921.722942006803</v>
      </c>
      <c r="E26" s="62">
        <f t="shared" si="2"/>
        <v>8.7168188016800965</v>
      </c>
      <c r="G26" s="61">
        <v>12</v>
      </c>
      <c r="H26" s="62">
        <f t="shared" si="3"/>
        <v>33.9353797919443</v>
      </c>
      <c r="I26" s="63">
        <f t="shared" si="6"/>
        <v>8.7168188016800967E-3</v>
      </c>
      <c r="J26" s="64">
        <f t="shared" si="4"/>
        <v>0.81910717102048269</v>
      </c>
      <c r="K26" s="61">
        <v>12</v>
      </c>
      <c r="L26" s="65"/>
      <c r="M26" s="66"/>
    </row>
    <row r="27" spans="1:13" x14ac:dyDescent="0.4">
      <c r="A27" s="61">
        <v>12.5</v>
      </c>
      <c r="B27" s="62">
        <f t="shared" si="0"/>
        <v>12.4</v>
      </c>
      <c r="C27" s="62">
        <f>611.14*EXP(17.269*(((273.16+A27)-273.16)/((273.16+A27)-35.86)))</f>
        <v>1450.2154035366293</v>
      </c>
      <c r="D27" s="62">
        <f t="shared" si="1"/>
        <v>99874.784596463374</v>
      </c>
      <c r="E27" s="62">
        <f t="shared" si="2"/>
        <v>9.0126221786990222</v>
      </c>
      <c r="G27" s="61">
        <v>12.5</v>
      </c>
      <c r="H27" s="62">
        <f t="shared" si="3"/>
        <v>35.188687979623893</v>
      </c>
      <c r="I27" s="63">
        <f t="shared" si="6"/>
        <v>9.0126221786990222E-3</v>
      </c>
      <c r="J27" s="64">
        <f t="shared" si="4"/>
        <v>0.82092721093508525</v>
      </c>
      <c r="K27" s="61">
        <v>12.5</v>
      </c>
      <c r="L27" s="65"/>
      <c r="M27" s="66"/>
    </row>
    <row r="28" spans="1:13" x14ac:dyDescent="0.4">
      <c r="A28" s="61">
        <v>13</v>
      </c>
      <c r="B28" s="62">
        <f t="shared" si="0"/>
        <v>12.9</v>
      </c>
      <c r="C28" s="62">
        <f t="shared" si="5"/>
        <v>1498.5268004482734</v>
      </c>
      <c r="D28" s="62">
        <f t="shared" si="1"/>
        <v>99826.473199551721</v>
      </c>
      <c r="E28" s="62">
        <f t="shared" si="2"/>
        <v>9.3173689626153813</v>
      </c>
      <c r="G28" s="61">
        <v>13</v>
      </c>
      <c r="H28" s="62">
        <f t="shared" si="3"/>
        <v>36.465013107470767</v>
      </c>
      <c r="I28" s="63">
        <f t="shared" si="6"/>
        <v>9.317368962615381E-3</v>
      </c>
      <c r="J28" s="64">
        <f t="shared" si="4"/>
        <v>0.82276019270178558</v>
      </c>
      <c r="K28" s="61">
        <v>13</v>
      </c>
      <c r="L28" s="65"/>
      <c r="M28" s="66"/>
    </row>
    <row r="29" spans="1:13" x14ac:dyDescent="0.4">
      <c r="A29" s="61">
        <v>13.5</v>
      </c>
      <c r="B29" s="62">
        <f t="shared" si="0"/>
        <v>13.4</v>
      </c>
      <c r="C29" s="62">
        <f t="shared" si="5"/>
        <v>1548.2452950036304</v>
      </c>
      <c r="D29" s="62">
        <f t="shared" si="1"/>
        <v>99776.754704996376</v>
      </c>
      <c r="E29" s="62">
        <f t="shared" si="2"/>
        <v>9.6312998064467408</v>
      </c>
      <c r="G29" s="61">
        <v>13.5</v>
      </c>
      <c r="H29" s="62">
        <f t="shared" si="3"/>
        <v>37.764985007720654</v>
      </c>
      <c r="I29" s="63">
        <f t="shared" si="6"/>
        <v>9.6312998064467404E-3</v>
      </c>
      <c r="J29" s="64">
        <f t="shared" si="4"/>
        <v>0.8246064898532367</v>
      </c>
      <c r="K29" s="61">
        <v>13.5</v>
      </c>
      <c r="L29" s="65"/>
      <c r="M29" s="66"/>
    </row>
    <row r="30" spans="1:13" x14ac:dyDescent="0.4">
      <c r="A30" s="61">
        <v>14</v>
      </c>
      <c r="B30" s="62">
        <f t="shared" si="0"/>
        <v>13.9</v>
      </c>
      <c r="C30" s="62">
        <f t="shared" si="5"/>
        <v>1599.4056121981712</v>
      </c>
      <c r="D30" s="62">
        <f t="shared" si="1"/>
        <v>99725.59438780183</v>
      </c>
      <c r="E30" s="62">
        <f t="shared" si="2"/>
        <v>9.9546613285218477</v>
      </c>
      <c r="G30" s="61">
        <v>14</v>
      </c>
      <c r="H30" s="62">
        <f t="shared" si="3"/>
        <v>39.089249410200523</v>
      </c>
      <c r="I30" s="63">
        <f t="shared" si="6"/>
        <v>9.9546613285218469E-3</v>
      </c>
      <c r="J30" s="64">
        <f t="shared" si="4"/>
        <v>0.82646648586947036</v>
      </c>
      <c r="K30" s="61">
        <v>14</v>
      </c>
      <c r="L30" s="65"/>
      <c r="M30" s="66"/>
    </row>
    <row r="31" spans="1:13" x14ac:dyDescent="0.4">
      <c r="A31" s="61">
        <v>14.5</v>
      </c>
      <c r="B31" s="62">
        <f t="shared" si="0"/>
        <v>14.4</v>
      </c>
      <c r="C31" s="62">
        <f t="shared" si="5"/>
        <v>1652.0431654861761</v>
      </c>
      <c r="D31" s="62">
        <f t="shared" si="1"/>
        <v>99672.956834513825</v>
      </c>
      <c r="E31" s="62">
        <f t="shared" si="2"/>
        <v>10.287706267388362</v>
      </c>
      <c r="G31" s="61">
        <v>14.5</v>
      </c>
      <c r="H31" s="62">
        <f t="shared" si="3"/>
        <v>40.438468359843867</v>
      </c>
      <c r="I31" s="63">
        <f t="shared" si="6"/>
        <v>1.0287706267388362E-2</v>
      </c>
      <c r="J31" s="64">
        <f t="shared" si="4"/>
        <v>0.82834057444751386</v>
      </c>
      <c r="K31" s="61">
        <v>14.5</v>
      </c>
      <c r="L31" s="65"/>
      <c r="M31" s="66"/>
    </row>
    <row r="32" spans="1:13" x14ac:dyDescent="0.4">
      <c r="A32" s="61">
        <v>15</v>
      </c>
      <c r="B32" s="62">
        <f t="shared" si="0"/>
        <v>14.9</v>
      </c>
      <c r="C32" s="62">
        <f t="shared" si="5"/>
        <v>1706.1940665883733</v>
      </c>
      <c r="D32" s="62">
        <f t="shared" si="1"/>
        <v>99618.805933411626</v>
      </c>
      <c r="E32" s="62">
        <f t="shared" si="2"/>
        <v>10.630693641879592</v>
      </c>
      <c r="G32" s="61">
        <v>15</v>
      </c>
      <c r="H32" s="62">
        <f t="shared" si="3"/>
        <v>41.813320648055551</v>
      </c>
      <c r="I32" s="63">
        <f t="shared" si="6"/>
        <v>1.0630693641879591E-2</v>
      </c>
      <c r="J32" s="64">
        <f t="shared" si="4"/>
        <v>0.8302291597798519</v>
      </c>
      <c r="K32" s="61">
        <v>15</v>
      </c>
      <c r="L32" s="65"/>
      <c r="M32" s="66"/>
    </row>
    <row r="33" spans="1:13" x14ac:dyDescent="0.4">
      <c r="A33" s="61">
        <v>15.5</v>
      </c>
      <c r="B33" s="62">
        <f t="shared" si="0"/>
        <v>15.4</v>
      </c>
      <c r="C33" s="62">
        <f t="shared" si="5"/>
        <v>1761.8951353677908</v>
      </c>
      <c r="D33" s="62">
        <f t="shared" si="1"/>
        <v>99563.104864632216</v>
      </c>
      <c r="E33" s="62">
        <f t="shared" si="2"/>
        <v>10.983888916564547</v>
      </c>
      <c r="G33" s="61">
        <v>15.5</v>
      </c>
      <c r="H33" s="62">
        <f t="shared" si="3"/>
        <v>43.214502258524718</v>
      </c>
      <c r="I33" s="63">
        <f t="shared" si="6"/>
        <v>1.0983888916564547E-2</v>
      </c>
      <c r="J33" s="64">
        <f t="shared" si="4"/>
        <v>0.83213265684211279</v>
      </c>
      <c r="K33" s="61">
        <v>15.5</v>
      </c>
      <c r="L33" s="65"/>
      <c r="M33" s="66"/>
    </row>
    <row r="34" spans="1:13" x14ac:dyDescent="0.4">
      <c r="A34" s="61">
        <v>16</v>
      </c>
      <c r="B34" s="62">
        <f t="shared" si="0"/>
        <v>15.9</v>
      </c>
      <c r="C34" s="62">
        <f t="shared" si="5"/>
        <v>1819.1839097732338</v>
      </c>
      <c r="D34" s="62">
        <f t="shared" si="1"/>
        <v>99505.81609022677</v>
      </c>
      <c r="E34" s="62">
        <f t="shared" si="2"/>
        <v>11.347564172816773</v>
      </c>
      <c r="G34" s="61">
        <v>16</v>
      </c>
      <c r="H34" s="62">
        <f t="shared" si="3"/>
        <v>44.642726828113638</v>
      </c>
      <c r="I34" s="63">
        <f t="shared" si="6"/>
        <v>1.1347564172816772E-2</v>
      </c>
      <c r="J34" s="64">
        <f t="shared" si="4"/>
        <v>0.83405149169036608</v>
      </c>
      <c r="K34" s="61">
        <v>16</v>
      </c>
      <c r="L34" s="65"/>
      <c r="M34" s="66"/>
    </row>
    <row r="35" spans="1:13" x14ac:dyDescent="0.4">
      <c r="A35" s="61">
        <v>16.5</v>
      </c>
      <c r="B35" s="62">
        <f t="shared" si="0"/>
        <v>16.399999999999999</v>
      </c>
      <c r="C35" s="62">
        <f t="shared" si="5"/>
        <v>1878.0986558497796</v>
      </c>
      <c r="D35" s="62">
        <f t="shared" si="1"/>
        <v>99446.901344150217</v>
      </c>
      <c r="E35" s="62">
        <f>I35*1000</f>
        <v>11.721998285748946</v>
      </c>
      <c r="G35" s="61">
        <v>16.5</v>
      </c>
      <c r="H35" s="62">
        <f>(((1.005+(1.88*(E35/1000)))*A35)+(2487*(E35/1000)))</f>
        <v>46.098726123481562</v>
      </c>
      <c r="I35" s="63">
        <f>(18/29)*(C35/($N$2-C35))</f>
        <v>1.1721998285748946E-2</v>
      </c>
      <c r="J35" s="64">
        <f t="shared" si="4"/>
        <v>0.83598610176845423</v>
      </c>
      <c r="K35" s="61">
        <v>16.5</v>
      </c>
      <c r="L35" s="65"/>
      <c r="M35" s="66"/>
    </row>
    <row r="36" spans="1:13" x14ac:dyDescent="0.4">
      <c r="A36" s="61">
        <v>17</v>
      </c>
      <c r="B36" s="62">
        <f t="shared" si="0"/>
        <v>16.899999999999999</v>
      </c>
      <c r="C36" s="62">
        <f t="shared" si="5"/>
        <v>1938.6783778156737</v>
      </c>
      <c r="D36" s="62">
        <f t="shared" si="1"/>
        <v>99386.321622184332</v>
      </c>
      <c r="E36" s="62">
        <f t="shared" si="2"/>
        <v>12.107477107272565</v>
      </c>
      <c r="G36" s="61">
        <v>17</v>
      </c>
      <c r="H36" s="62">
        <f t="shared" si="3"/>
        <v>47.583250534135303</v>
      </c>
      <c r="I36" s="63">
        <f t="shared" si="6"/>
        <v>1.2107477107272566E-2</v>
      </c>
      <c r="J36" s="64">
        <f t="shared" si="4"/>
        <v>0.83793693622578158</v>
      </c>
      <c r="K36" s="61">
        <v>17</v>
      </c>
      <c r="L36" s="65"/>
      <c r="M36" s="66"/>
    </row>
    <row r="37" spans="1:13" x14ac:dyDescent="0.4">
      <c r="A37" s="61">
        <v>17.5</v>
      </c>
      <c r="B37" s="62">
        <f t="shared" si="0"/>
        <v>17.399999999999999</v>
      </c>
      <c r="C37" s="62">
        <f t="shared" si="5"/>
        <v>2000.9628282049935</v>
      </c>
      <c r="D37" s="62">
        <f t="shared" si="1"/>
        <v>99324.037171795004</v>
      </c>
      <c r="E37" s="62">
        <f t="shared" si="2"/>
        <v>12.5042936555549</v>
      </c>
      <c r="G37" s="61">
        <v>17.5</v>
      </c>
      <c r="H37" s="62">
        <f t="shared" si="3"/>
        <v>49.097069582632791</v>
      </c>
      <c r="I37" s="63">
        <f t="shared" si="6"/>
        <v>1.25042936555549E-2</v>
      </c>
      <c r="J37" s="64">
        <f t="shared" si="4"/>
        <v>0.83990445624602761</v>
      </c>
      <c r="K37" s="61">
        <v>17.5</v>
      </c>
      <c r="L37" s="65"/>
      <c r="M37" s="66"/>
    </row>
    <row r="38" spans="1:13" x14ac:dyDescent="0.4">
      <c r="A38" s="61">
        <v>18</v>
      </c>
      <c r="B38" s="62">
        <f t="shared" si="0"/>
        <v>17.899999999999999</v>
      </c>
      <c r="C38" s="62">
        <f t="shared" si="5"/>
        <v>2064.9925180754335</v>
      </c>
      <c r="D38" s="62">
        <f t="shared" si="1"/>
        <v>99260.007481924564</v>
      </c>
      <c r="E38" s="62">
        <f t="shared" si="2"/>
        <v>12.912748311159042</v>
      </c>
      <c r="G38" s="61">
        <v>18</v>
      </c>
      <c r="H38" s="62">
        <f t="shared" si="3"/>
        <v>50.640972452702158</v>
      </c>
      <c r="I38" s="63">
        <f t="shared" si="6"/>
        <v>1.2912748311159043E-2</v>
      </c>
      <c r="J38" s="64">
        <f t="shared" si="4"/>
        <v>0.84188913538725529</v>
      </c>
      <c r="K38" s="61">
        <v>18</v>
      </c>
      <c r="L38" s="65"/>
      <c r="M38" s="66"/>
    </row>
    <row r="39" spans="1:13" x14ac:dyDescent="0.4">
      <c r="A39" s="61">
        <v>18.5</v>
      </c>
      <c r="B39" s="62">
        <f t="shared" si="0"/>
        <v>18.399999999999999</v>
      </c>
      <c r="C39" s="62">
        <f t="shared" si="5"/>
        <v>2130.8087272805501</v>
      </c>
      <c r="D39" s="62">
        <f t="shared" si="1"/>
        <v>99194.191272719443</v>
      </c>
      <c r="E39" s="62">
        <f t="shared" si="2"/>
        <v>13.333149020167173</v>
      </c>
      <c r="G39" s="61">
        <v>18.5</v>
      </c>
      <c r="H39" s="62">
        <f t="shared" si="3"/>
        <v>52.215768536077171</v>
      </c>
      <c r="I39" s="63">
        <f t="shared" si="6"/>
        <v>1.3333149020167174E-2</v>
      </c>
      <c r="J39" s="64">
        <f t="shared" si="4"/>
        <v>0.8438914599339199</v>
      </c>
      <c r="K39" s="61">
        <v>18.5</v>
      </c>
      <c r="L39" s="65"/>
      <c r="M39" s="66"/>
    </row>
    <row r="40" spans="1:13" x14ac:dyDescent="0.4">
      <c r="A40" s="61">
        <v>19</v>
      </c>
      <c r="B40" s="62">
        <f t="shared" si="0"/>
        <v>18.899999999999999</v>
      </c>
      <c r="C40" s="62">
        <f t="shared" si="5"/>
        <v>2198.4535148058017</v>
      </c>
      <c r="D40" s="62">
        <f t="shared" si="1"/>
        <v>99126.546485194194</v>
      </c>
      <c r="E40" s="62">
        <f t="shared" si="2"/>
        <v>13.765811504602434</v>
      </c>
      <c r="G40" s="61">
        <v>19</v>
      </c>
      <c r="H40" s="62">
        <f t="shared" si="3"/>
        <v>53.822287998890644</v>
      </c>
      <c r="I40" s="63">
        <f t="shared" si="6"/>
        <v>1.3765811504602434E-2</v>
      </c>
      <c r="J40" s="64">
        <f t="shared" si="4"/>
        <v>0.84591192926130743</v>
      </c>
      <c r="K40" s="61">
        <v>19</v>
      </c>
      <c r="L40" s="65"/>
      <c r="M40" s="66"/>
    </row>
    <row r="41" spans="1:13" x14ac:dyDescent="0.4">
      <c r="A41" s="61">
        <v>19.5</v>
      </c>
      <c r="B41" s="62">
        <f t="shared" si="0"/>
        <v>19.399999999999999</v>
      </c>
      <c r="C41" s="62">
        <f t="shared" si="5"/>
        <v>2267.9697291676862</v>
      </c>
      <c r="D41" s="62">
        <f t="shared" si="1"/>
        <v>99057.030270832314</v>
      </c>
      <c r="E41" s="62">
        <f t="shared" si="2"/>
        <v>14.211059480480586</v>
      </c>
      <c r="G41" s="61">
        <v>19.5</v>
      </c>
      <c r="H41" s="62">
        <f t="shared" si="3"/>
        <v>55.461382368509632</v>
      </c>
      <c r="I41" s="63">
        <f t="shared" si="6"/>
        <v>1.4211059480480586E-2</v>
      </c>
      <c r="J41" s="64">
        <f t="shared" si="4"/>
        <v>0.84795105621295797</v>
      </c>
      <c r="K41" s="61">
        <v>19.5</v>
      </c>
      <c r="L41" s="65"/>
      <c r="M41" s="66"/>
    </row>
    <row r="42" spans="1:13" x14ac:dyDescent="0.4">
      <c r="A42" s="61">
        <v>20</v>
      </c>
      <c r="B42" s="62">
        <f t="shared" si="0"/>
        <v>19.899999999999999</v>
      </c>
      <c r="C42" s="62">
        <f t="shared" si="5"/>
        <v>2339.4010188752882</v>
      </c>
      <c r="D42" s="62">
        <f t="shared" si="1"/>
        <v>98985.598981124713</v>
      </c>
      <c r="E42" s="62">
        <f t="shared" si="2"/>
        <v>14.669224883839739</v>
      </c>
      <c r="G42" s="61">
        <v>20</v>
      </c>
      <c r="H42" s="62">
        <f t="shared" si="3"/>
        <v>57.133925141741798</v>
      </c>
      <c r="I42" s="63">
        <f t="shared" si="6"/>
        <v>1.4669224883839739E-2</v>
      </c>
      <c r="J42" s="64">
        <f t="shared" si="4"/>
        <v>0.85000936749165745</v>
      </c>
      <c r="K42" s="61">
        <v>20</v>
      </c>
      <c r="L42" s="65"/>
      <c r="M42" s="66"/>
    </row>
    <row r="43" spans="1:13" x14ac:dyDescent="0.4">
      <c r="A43" s="61">
        <v>20.5</v>
      </c>
      <c r="B43" s="62">
        <f t="shared" si="0"/>
        <v>20.399999999999999</v>
      </c>
      <c r="C43" s="62">
        <f t="shared" si="5"/>
        <v>2412.791842953513</v>
      </c>
      <c r="D43" s="62">
        <f t="shared" si="1"/>
        <v>98912.208157046494</v>
      </c>
      <c r="E43" s="62">
        <f t="shared" si="2"/>
        <v>15.140648105114014</v>
      </c>
      <c r="G43" s="61">
        <v>20.5</v>
      </c>
      <c r="H43" s="62">
        <f t="shared" si="3"/>
        <v>58.840812415389649</v>
      </c>
      <c r="I43" s="63">
        <f t="shared" si="6"/>
        <v>1.5140648105114014E-2</v>
      </c>
      <c r="J43" s="64">
        <f t="shared" si="4"/>
        <v>0.85208740406460859</v>
      </c>
      <c r="K43" s="61">
        <v>20.5</v>
      </c>
      <c r="L43" s="65"/>
      <c r="M43" s="66"/>
    </row>
    <row r="44" spans="1:13" x14ac:dyDescent="0.4">
      <c r="A44" s="61">
        <v>21</v>
      </c>
      <c r="B44" s="62">
        <f t="shared" si="0"/>
        <v>20.9</v>
      </c>
      <c r="C44" s="62">
        <f t="shared" si="5"/>
        <v>2488.1874815273036</v>
      </c>
      <c r="D44" s="62">
        <f t="shared" si="1"/>
        <v>98836.812518472696</v>
      </c>
      <c r="E44" s="62">
        <f t="shared" si="2"/>
        <v>15.625678232236096</v>
      </c>
      <c r="G44" s="61">
        <v>21</v>
      </c>
      <c r="H44" s="62">
        <f t="shared" si="3"/>
        <v>60.582963540179847</v>
      </c>
      <c r="I44" s="63">
        <f t="shared" si="6"/>
        <v>1.5625678232236095E-2</v>
      </c>
      <c r="J44" s="64">
        <f t="shared" si="4"/>
        <v>0.85418572158343287</v>
      </c>
      <c r="K44" s="61">
        <v>21</v>
      </c>
      <c r="L44" s="65"/>
      <c r="M44" s="66"/>
    </row>
    <row r="45" spans="1:13" x14ac:dyDescent="0.4">
      <c r="A45" s="61">
        <v>21.5</v>
      </c>
      <c r="B45" s="62">
        <f t="shared" si="0"/>
        <v>21.4</v>
      </c>
      <c r="C45" s="62">
        <f t="shared" si="5"/>
        <v>2565.6340464660716</v>
      </c>
      <c r="D45" s="62">
        <f t="shared" si="1"/>
        <v>98759.365953533925</v>
      </c>
      <c r="E45" s="62">
        <f t="shared" si="2"/>
        <v>16.124673302873177</v>
      </c>
      <c r="G45" s="61">
        <v>21.5</v>
      </c>
      <c r="H45" s="62">
        <f t="shared" si="3"/>
        <v>62.361321799147724</v>
      </c>
      <c r="I45" s="63">
        <f t="shared" si="6"/>
        <v>1.6124673302873177E-2</v>
      </c>
      <c r="J45" s="64">
        <f t="shared" si="4"/>
        <v>0.85630489081967731</v>
      </c>
      <c r="K45" s="61">
        <v>21.5</v>
      </c>
      <c r="L45" s="65"/>
      <c r="M45" s="66"/>
    </row>
    <row r="46" spans="1:13" x14ac:dyDescent="0.4">
      <c r="A46" s="61">
        <v>22</v>
      </c>
      <c r="B46" s="62">
        <f t="shared" si="0"/>
        <v>21.9</v>
      </c>
      <c r="C46" s="62">
        <f t="shared" si="5"/>
        <v>2645.178492087628</v>
      </c>
      <c r="D46" s="62">
        <f t="shared" si="1"/>
        <v>98679.821507912377</v>
      </c>
      <c r="E46" s="62">
        <f t="shared" si="2"/>
        <v>16.638000566222235</v>
      </c>
      <c r="G46" s="61">
        <v>22</v>
      </c>
      <c r="H46" s="62">
        <f t="shared" si="3"/>
        <v>64.176855111613648</v>
      </c>
      <c r="I46" s="63">
        <f t="shared" si="6"/>
        <v>1.6638000566222236E-2</v>
      </c>
      <c r="J46" s="64">
        <f t="shared" si="4"/>
        <v>0.85844549811654158</v>
      </c>
      <c r="K46" s="61">
        <v>22</v>
      </c>
      <c r="L46" s="65"/>
      <c r="M46" s="66"/>
    </row>
    <row r="47" spans="1:13" x14ac:dyDescent="0.4">
      <c r="A47" s="61">
        <v>22.5</v>
      </c>
      <c r="B47" s="62">
        <f t="shared" si="0"/>
        <v>22.4</v>
      </c>
      <c r="C47" s="62">
        <f t="shared" si="5"/>
        <v>2726.8686259208284</v>
      </c>
      <c r="D47" s="62">
        <f t="shared" si="1"/>
        <v>98598.131374079167</v>
      </c>
      <c r="E47" s="62">
        <f t="shared" si="2"/>
        <v>17.166036754812481</v>
      </c>
      <c r="G47" s="61">
        <v>22.5</v>
      </c>
      <c r="H47" s="62">
        <f t="shared" si="3"/>
        <v>66.030556763947203</v>
      </c>
      <c r="I47" s="63">
        <f t="shared" si="6"/>
        <v>1.7166036754812482E-2</v>
      </c>
      <c r="J47" s="64">
        <f t="shared" si="4"/>
        <v>0.86060814585758116</v>
      </c>
      <c r="K47" s="61">
        <v>22.5</v>
      </c>
      <c r="L47" s="65"/>
      <c r="M47" s="66"/>
    </row>
    <row r="48" spans="1:13" x14ac:dyDescent="0.4">
      <c r="A48" s="61">
        <v>23</v>
      </c>
      <c r="B48" s="62">
        <f t="shared" si="0"/>
        <v>22.9</v>
      </c>
      <c r="C48" s="62">
        <f t="shared" si="5"/>
        <v>2810.7531195261718</v>
      </c>
      <c r="D48" s="62">
        <f t="shared" si="1"/>
        <v>98514.246880473831</v>
      </c>
      <c r="E48" s="62">
        <f>I48*1000</f>
        <v>17.709168366786532</v>
      </c>
      <c r="G48" s="61">
        <v>23</v>
      </c>
      <c r="H48" s="62">
        <f>(((1.005+(1.88*(E48/1000)))*A48)+(2487*(E48/1000)))</f>
        <v>67.92344616837795</v>
      </c>
      <c r="I48" s="63">
        <f>(18/29)*(C48/($N$2-C48))</f>
        <v>1.7709168366786533E-2</v>
      </c>
      <c r="J48" s="64">
        <f t="shared" si="4"/>
        <v>0.86279345295317167</v>
      </c>
      <c r="K48" s="61">
        <v>23</v>
      </c>
      <c r="L48" s="65"/>
      <c r="M48" s="66"/>
    </row>
    <row r="49" spans="1:13" x14ac:dyDescent="0.4">
      <c r="A49" s="61">
        <v>23.5</v>
      </c>
      <c r="B49" s="62">
        <f t="shared" si="0"/>
        <v>23.4</v>
      </c>
      <c r="C49" s="62">
        <f t="shared" si="5"/>
        <v>2896.8815193735572</v>
      </c>
      <c r="D49" s="62">
        <f t="shared" si="1"/>
        <v>98428.118480626435</v>
      </c>
      <c r="E49" s="62">
        <f t="shared" si="2"/>
        <v>18.26779195915671</v>
      </c>
      <c r="G49" s="61">
        <v>23.5</v>
      </c>
      <c r="H49" s="62">
        <f t="shared" si="3"/>
        <v>69.856569651178276</v>
      </c>
      <c r="I49" s="63">
        <f>(18/29)*(C49/($N$2-C49))</f>
        <v>1.8267791959156711E-2</v>
      </c>
      <c r="J49" s="64">
        <f t="shared" si="4"/>
        <v>0.86500205534557595</v>
      </c>
      <c r="K49" s="61">
        <v>23.5</v>
      </c>
      <c r="L49" s="65"/>
      <c r="M49" s="66"/>
    </row>
    <row r="50" spans="1:13" x14ac:dyDescent="0.4">
      <c r="A50" s="61">
        <v>24</v>
      </c>
      <c r="B50" s="62">
        <f t="shared" si="0"/>
        <v>23.9</v>
      </c>
      <c r="C50" s="62">
        <f t="shared" si="5"/>
        <v>2985.3042577764168</v>
      </c>
      <c r="D50" s="62">
        <f t="shared" si="1"/>
        <v>98339.695742223586</v>
      </c>
      <c r="E50" s="62">
        <f t="shared" si="2"/>
        <v>18.84231445255929</v>
      </c>
      <c r="G50" s="61">
        <v>24</v>
      </c>
      <c r="H50" s="62">
        <f t="shared" si="3"/>
        <v>71.831001271614426</v>
      </c>
      <c r="I50" s="63">
        <f t="shared" si="6"/>
        <v>1.8842314452559291E-2</v>
      </c>
      <c r="J50" s="64">
        <f t="shared" si="4"/>
        <v>0.86723460653348527</v>
      </c>
      <c r="K50" s="61">
        <v>24</v>
      </c>
      <c r="L50" s="65"/>
      <c r="M50" s="66"/>
    </row>
    <row r="51" spans="1:13" x14ac:dyDescent="0.4">
      <c r="A51" s="61">
        <v>24.5</v>
      </c>
      <c r="B51" s="62">
        <f t="shared" si="0"/>
        <v>24.4</v>
      </c>
      <c r="C51" s="62">
        <f t="shared" si="5"/>
        <v>3076.0726638814035</v>
      </c>
      <c r="D51" s="62">
        <f t="shared" si="1"/>
        <v>98248.927336118591</v>
      </c>
      <c r="E51" s="62">
        <f t="shared" si="2"/>
        <v>19.433153448057428</v>
      </c>
      <c r="G51" s="61">
        <v>24.5</v>
      </c>
      <c r="H51" s="62">
        <f t="shared" si="3"/>
        <v>73.847843673136353</v>
      </c>
      <c r="I51" s="63">
        <f t="shared" si="6"/>
        <v>1.943315344805743E-2</v>
      </c>
      <c r="J51" s="64">
        <f t="shared" si="4"/>
        <v>0.86949177811696587</v>
      </c>
      <c r="K51" s="61">
        <v>24.5</v>
      </c>
      <c r="L51" s="65"/>
      <c r="M51" s="66"/>
    </row>
    <row r="52" spans="1:13" x14ac:dyDescent="0.4">
      <c r="A52" s="61">
        <v>25</v>
      </c>
      <c r="B52" s="62">
        <f t="shared" si="0"/>
        <v>24.9</v>
      </c>
      <c r="C52" s="62">
        <f t="shared" si="5"/>
        <v>3169.2389747128163</v>
      </c>
      <c r="D52" s="62">
        <f t="shared" si="1"/>
        <v>98155.761025287182</v>
      </c>
      <c r="E52" s="62">
        <f t="shared" si="2"/>
        <v>20.04073755657295</v>
      </c>
      <c r="G52" s="61">
        <v>25</v>
      </c>
      <c r="H52" s="62">
        <f t="shared" si="3"/>
        <v>75.908228968355843</v>
      </c>
      <c r="I52" s="63">
        <f t="shared" si="6"/>
        <v>2.004073755657295E-2</v>
      </c>
      <c r="J52" s="64">
        <f t="shared" si="4"/>
        <v>0.87177426036378181</v>
      </c>
      <c r="K52" s="61">
        <v>25</v>
      </c>
      <c r="L52" s="65"/>
      <c r="M52" s="66"/>
    </row>
    <row r="53" spans="1:13" x14ac:dyDescent="0.4">
      <c r="A53" s="61">
        <v>25.5</v>
      </c>
      <c r="B53" s="62">
        <f t="shared" si="0"/>
        <v>25.4</v>
      </c>
      <c r="C53" s="62">
        <f t="shared" si="5"/>
        <v>3264.8563462709462</v>
      </c>
      <c r="D53" s="62">
        <f t="shared" si="1"/>
        <v>98060.143653729057</v>
      </c>
      <c r="E53" s="62">
        <f t="shared" si="2"/>
        <v>20.665506741558989</v>
      </c>
      <c r="G53" s="61">
        <v>25.5</v>
      </c>
      <c r="H53" s="62">
        <f t="shared" si="3"/>
        <v>78.013319659447532</v>
      </c>
      <c r="I53" s="63">
        <f t="shared" si="6"/>
        <v>2.0665506741558988E-2</v>
      </c>
      <c r="J53" s="64">
        <f t="shared" si="4"/>
        <v>0.87408276279812691</v>
      </c>
      <c r="K53" s="61">
        <v>25.5</v>
      </c>
      <c r="L53" s="65"/>
      <c r="M53" s="66"/>
    </row>
    <row r="54" spans="1:13" x14ac:dyDescent="0.4">
      <c r="A54" s="61">
        <v>26</v>
      </c>
      <c r="B54" s="62">
        <f t="shared" si="0"/>
        <v>25.9</v>
      </c>
      <c r="C54" s="62">
        <f t="shared" si="5"/>
        <v>3362.9788646834731</v>
      </c>
      <c r="D54" s="62">
        <f t="shared" si="1"/>
        <v>97962.021135316521</v>
      </c>
      <c r="E54" s="62">
        <f t="shared" si="2"/>
        <v>21.307912675558089</v>
      </c>
      <c r="G54" s="61">
        <v>26</v>
      </c>
      <c r="H54" s="62">
        <f t="shared" si="3"/>
        <v>80.164309595694249</v>
      </c>
      <c r="I54" s="63">
        <f t="shared" si="6"/>
        <v>2.130791267555809E-2</v>
      </c>
      <c r="J54" s="64">
        <f t="shared" si="4"/>
        <v>0.87641801481284654</v>
      </c>
      <c r="K54" s="61">
        <v>26</v>
      </c>
      <c r="L54" s="65"/>
      <c r="M54" s="66"/>
    </row>
    <row r="55" spans="1:13" x14ac:dyDescent="0.4">
      <c r="A55" s="61">
        <v>26.5</v>
      </c>
      <c r="B55" s="62">
        <f t="shared" si="0"/>
        <v>26.4</v>
      </c>
      <c r="C55" s="62">
        <f t="shared" si="5"/>
        <v>3463.6615574090938</v>
      </c>
      <c r="D55" s="62">
        <f t="shared" si="1"/>
        <v>97861.338442590903</v>
      </c>
      <c r="E55" s="62">
        <f t="shared" si="2"/>
        <v>21.968419111326412</v>
      </c>
      <c r="G55" s="61">
        <v>26.5</v>
      </c>
      <c r="H55" s="62">
        <f t="shared" si="3"/>
        <v>82.362424969995061</v>
      </c>
      <c r="I55" s="63">
        <f t="shared" si="6"/>
        <v>2.1968419111326413E-2</v>
      </c>
      <c r="J55" s="64">
        <f t="shared" si="4"/>
        <v>0.87878076630629709</v>
      </c>
      <c r="K55" s="61">
        <v>26.5</v>
      </c>
      <c r="L55" s="65"/>
      <c r="M55" s="66"/>
    </row>
    <row r="56" spans="1:13" x14ac:dyDescent="0.4">
      <c r="A56" s="61">
        <v>27</v>
      </c>
      <c r="B56" s="62">
        <f t="shared" si="0"/>
        <v>26.9</v>
      </c>
      <c r="C56" s="62">
        <f t="shared" si="5"/>
        <v>3566.9604044924904</v>
      </c>
      <c r="D56" s="62">
        <f t="shared" si="1"/>
        <v>97758.039595507507</v>
      </c>
      <c r="E56" s="62">
        <f t="shared" si="2"/>
        <v>22.647502268241489</v>
      </c>
      <c r="G56" s="61">
        <v>27</v>
      </c>
      <c r="H56" s="62">
        <f t="shared" si="3"/>
        <v>84.608925356252513</v>
      </c>
      <c r="I56" s="63">
        <f t="shared" si="6"/>
        <v>2.2647502268241488E-2</v>
      </c>
      <c r="J56" s="64">
        <f t="shared" si="4"/>
        <v>0.8811717883450485</v>
      </c>
      <c r="K56" s="61">
        <v>27</v>
      </c>
      <c r="L56" s="65"/>
      <c r="M56" s="66"/>
    </row>
    <row r="57" spans="1:13" x14ac:dyDescent="0.4">
      <c r="A57" s="61">
        <v>27.5</v>
      </c>
      <c r="B57" s="62">
        <f t="shared" si="0"/>
        <v>27.4</v>
      </c>
      <c r="C57" s="62">
        <f t="shared" si="5"/>
        <v>3672.9323498697863</v>
      </c>
      <c r="D57" s="62">
        <f t="shared" si="1"/>
        <v>97652.067650130208</v>
      </c>
      <c r="E57" s="62">
        <f t="shared" si="2"/>
        <v>23.345651234751315</v>
      </c>
      <c r="G57" s="61">
        <v>27.5</v>
      </c>
      <c r="H57" s="62">
        <f t="shared" si="3"/>
        <v>86.905104789663156</v>
      </c>
      <c r="I57" s="63">
        <f t="shared" si="6"/>
        <v>2.3345651234751314E-2</v>
      </c>
      <c r="J57" s="64">
        <f t="shared" si="4"/>
        <v>0.8835918738537063</v>
      </c>
      <c r="K57" s="61">
        <v>27.5</v>
      </c>
      <c r="L57" s="65"/>
      <c r="M57" s="66"/>
    </row>
    <row r="58" spans="1:13" x14ac:dyDescent="0.4">
      <c r="A58" s="61">
        <v>28</v>
      </c>
      <c r="B58" s="62">
        <f t="shared" si="0"/>
        <v>27.9</v>
      </c>
      <c r="C58" s="62">
        <f t="shared" si="5"/>
        <v>3781.6353127235916</v>
      </c>
      <c r="D58" s="62">
        <f t="shared" si="1"/>
        <v>97543.364687276407</v>
      </c>
      <c r="E58" s="62">
        <f t="shared" si="2"/>
        <v>24.063368387664426</v>
      </c>
      <c r="G58" s="61">
        <v>28</v>
      </c>
      <c r="H58" s="62">
        <f t="shared" si="3"/>
        <v>89.252292892048075</v>
      </c>
      <c r="I58" s="63">
        <f t="shared" si="6"/>
        <v>2.4063368387664427E-2</v>
      </c>
      <c r="J58" s="64">
        <f t="shared" si="4"/>
        <v>0.88604183833319905</v>
      </c>
      <c r="K58" s="61">
        <v>28</v>
      </c>
      <c r="L58" s="65"/>
      <c r="M58" s="66"/>
    </row>
    <row r="59" spans="1:13" x14ac:dyDescent="0.4">
      <c r="A59" s="61">
        <v>28.5</v>
      </c>
      <c r="B59" s="62">
        <f t="shared" si="0"/>
        <v>28.4</v>
      </c>
      <c r="C59" s="62">
        <f t="shared" si="5"/>
        <v>3893.1281988867518</v>
      </c>
      <c r="D59" s="62">
        <f t="shared" si="1"/>
        <v>97431.871801113244</v>
      </c>
      <c r="E59" s="62">
        <f t="shared" si="2"/>
        <v>24.801169829125755</v>
      </c>
      <c r="G59" s="61">
        <v>28.5</v>
      </c>
      <c r="H59" s="62">
        <f t="shared" si="3"/>
        <v>91.651856044480311</v>
      </c>
      <c r="I59" s="63">
        <f t="shared" si="6"/>
        <v>2.4801169829125756E-2</v>
      </c>
      <c r="J59" s="64">
        <f t="shared" si="4"/>
        <v>0.88852252060895298</v>
      </c>
      <c r="K59" s="61">
        <v>28.5</v>
      </c>
      <c r="L59" s="65"/>
      <c r="M59" s="66"/>
    </row>
    <row r="60" spans="1:13" x14ac:dyDescent="0.4">
      <c r="A60" s="61">
        <v>29</v>
      </c>
      <c r="B60" s="62">
        <f t="shared" si="0"/>
        <v>28.9</v>
      </c>
      <c r="C60" s="62">
        <f t="shared" si="5"/>
        <v>4007.4709122938889</v>
      </c>
      <c r="D60" s="62">
        <f t="shared" si="1"/>
        <v>97317.529087706105</v>
      </c>
      <c r="E60" s="62">
        <f t="shared" si="2"/>
        <v>25.55958584217074</v>
      </c>
      <c r="G60" s="61">
        <v>29</v>
      </c>
      <c r="H60" s="62">
        <f t="shared" si="3"/>
        <v>94.105198609593771</v>
      </c>
      <c r="I60" s="63">
        <f t="shared" si="6"/>
        <v>2.5559585842170742E-2</v>
      </c>
      <c r="J60" s="64">
        <f t="shared" si="4"/>
        <v>0.89103478361045896</v>
      </c>
      <c r="K60" s="61">
        <v>29</v>
      </c>
      <c r="L60" s="65"/>
      <c r="M60" s="66"/>
    </row>
    <row r="61" spans="1:13" x14ac:dyDescent="0.4">
      <c r="A61" s="61">
        <v>29.5</v>
      </c>
      <c r="B61" s="62">
        <f t="shared" si="0"/>
        <v>29.4</v>
      </c>
      <c r="C61" s="62">
        <f t="shared" si="5"/>
        <v>4124.7243664798416</v>
      </c>
      <c r="D61" s="62">
        <f t="shared" si="1"/>
        <v>97200.275633520156</v>
      </c>
      <c r="E61" s="62">
        <f t="shared" si="2"/>
        <v>26.339161365801036</v>
      </c>
      <c r="G61" s="61">
        <v>29.5</v>
      </c>
      <c r="H61" s="62">
        <f t="shared" si="3"/>
        <v>96.613764206094501</v>
      </c>
      <c r="I61" s="63">
        <f t="shared" si="6"/>
        <v>2.6339161365801035E-2</v>
      </c>
      <c r="J61" s="64">
        <f t="shared" si="4"/>
        <v>0.89357951518381795</v>
      </c>
      <c r="K61" s="61">
        <v>29.5</v>
      </c>
      <c r="L61" s="65"/>
      <c r="M61" s="66"/>
    </row>
    <row r="62" spans="1:13" x14ac:dyDescent="0.4">
      <c r="A62" s="61">
        <v>30</v>
      </c>
      <c r="B62" s="62">
        <f t="shared" si="0"/>
        <v>29.9</v>
      </c>
      <c r="C62" s="62">
        <f t="shared" si="5"/>
        <v>4244.95049612404</v>
      </c>
      <c r="D62" s="62">
        <f t="shared" si="1"/>
        <v>97080.049503875955</v>
      </c>
      <c r="E62" s="62">
        <f t="shared" si="2"/>
        <v>27.140456490578966</v>
      </c>
      <c r="G62" s="61">
        <v>30</v>
      </c>
      <c r="H62" s="62">
        <f t="shared" si="3"/>
        <v>99.179037038138546</v>
      </c>
      <c r="I62" s="63">
        <f t="shared" si="6"/>
        <v>2.7140456490578967E-2</v>
      </c>
      <c r="J62" s="64">
        <f t="shared" si="4"/>
        <v>0.89615762893894824</v>
      </c>
      <c r="K62" s="61">
        <v>30</v>
      </c>
      <c r="L62" s="65"/>
      <c r="M62" s="66"/>
    </row>
    <row r="63" spans="1:13" x14ac:dyDescent="0.4">
      <c r="A63" s="61">
        <v>30.5</v>
      </c>
      <c r="B63" s="62">
        <f t="shared" si="0"/>
        <v>30.4</v>
      </c>
      <c r="C63" s="62">
        <f t="shared" si="5"/>
        <v>4368.2122686399443</v>
      </c>
      <c r="D63" s="62">
        <f t="shared" si="1"/>
        <v>96956.787731360062</v>
      </c>
      <c r="E63" s="62">
        <f t="shared" si="2"/>
        <v>27.964046975796006</v>
      </c>
      <c r="G63" s="61">
        <v>30.5</v>
      </c>
      <c r="H63" s="62">
        <f t="shared" si="3"/>
        <v>101.80254328239681</v>
      </c>
      <c r="I63" s="63">
        <f t="shared" si="6"/>
        <v>2.7964046975796006E-2</v>
      </c>
      <c r="J63" s="64">
        <f t="shared" si="4"/>
        <v>0.89877006513322888</v>
      </c>
      <c r="K63" s="61">
        <v>30.5</v>
      </c>
      <c r="L63" s="65"/>
      <c r="M63" s="66"/>
    </row>
    <row r="64" spans="1:13" x14ac:dyDescent="0.4">
      <c r="A64" s="61">
        <v>31</v>
      </c>
      <c r="B64" s="62">
        <f t="shared" si="0"/>
        <v>30.9</v>
      </c>
      <c r="C64" s="62">
        <f t="shared" si="5"/>
        <v>4494.573695808529</v>
      </c>
      <c r="D64" s="62">
        <f t="shared" si="1"/>
        <v>96830.426304191467</v>
      </c>
      <c r="E64" s="62">
        <f t="shared" si="2"/>
        <v>28.810524789331009</v>
      </c>
      <c r="G64" s="61">
        <v>31</v>
      </c>
      <c r="H64" s="62">
        <f t="shared" si="3"/>
        <v>104.48585253578844</v>
      </c>
      <c r="I64" s="63">
        <f t="shared" si="6"/>
        <v>2.8810524789331007E-2</v>
      </c>
      <c r="J64" s="64">
        <f t="shared" si="4"/>
        <v>0.90141779159346502</v>
      </c>
      <c r="K64" s="61">
        <v>31</v>
      </c>
      <c r="L64" s="65"/>
      <c r="M64" s="66"/>
    </row>
    <row r="65" spans="1:13" x14ac:dyDescent="0.4">
      <c r="A65" s="61">
        <v>31.5</v>
      </c>
      <c r="B65" s="62">
        <f t="shared" si="0"/>
        <v>31.4</v>
      </c>
      <c r="C65" s="62">
        <f t="shared" si="5"/>
        <v>4624.0998454549463</v>
      </c>
      <c r="D65" s="62">
        <f t="shared" si="1"/>
        <v>96700.900154545059</v>
      </c>
      <c r="E65" s="62">
        <f t="shared" si="2"/>
        <v>29.680498671380189</v>
      </c>
      <c r="G65" s="61">
        <v>31.5</v>
      </c>
      <c r="H65" s="62">
        <f t="shared" si="3"/>
        <v>107.23057932704167</v>
      </c>
      <c r="I65" s="63">
        <f t="shared" si="6"/>
        <v>2.9680498671380187E-2</v>
      </c>
      <c r="J65" s="64">
        <f t="shared" si="4"/>
        <v>0.9041018046781627</v>
      </c>
      <c r="K65" s="61">
        <v>31.5</v>
      </c>
      <c r="L65" s="65"/>
      <c r="M65" s="66"/>
    </row>
    <row r="66" spans="1:13" x14ac:dyDescent="0.4">
      <c r="A66" s="61">
        <v>32</v>
      </c>
      <c r="B66" s="62">
        <f t="shared" ref="B66:B129" si="7">A66-0.1</f>
        <v>31.9</v>
      </c>
      <c r="C66" s="62">
        <f t="shared" si="5"/>
        <v>4756.8568531673363</v>
      </c>
      <c r="D66" s="62">
        <f t="shared" ref="D66:D129" si="8">$N$2-C66</f>
        <v>96568.143146832663</v>
      </c>
      <c r="E66" s="62">
        <f t="shared" ref="E66:E129" si="9">I66*1000</f>
        <v>30.574594723309719</v>
      </c>
      <c r="G66" s="61">
        <v>32</v>
      </c>
      <c r="H66" s="62">
        <f t="shared" ref="H66:H129" si="10">(((1.005+(1.88*(E66/1000)))*A66)+(2487*(E66/1000)))</f>
        <v>110.03838469542558</v>
      </c>
      <c r="I66" s="63">
        <f t="shared" si="6"/>
        <v>3.0574594723309718E-2</v>
      </c>
      <c r="J66" s="64">
        <f t="shared" ref="J66:J129" si="11">((22.41/273)*(A66+273))*((1/28.96)+((1/18.1)*I66))</f>
        <v>0.90682313028222505</v>
      </c>
      <c r="K66" s="61">
        <v>32</v>
      </c>
      <c r="L66" s="65"/>
      <c r="M66" s="66"/>
    </row>
    <row r="67" spans="1:13" x14ac:dyDescent="0.4">
      <c r="A67" s="61">
        <v>32.5</v>
      </c>
      <c r="B67" s="62">
        <f t="shared" si="7"/>
        <v>32.4</v>
      </c>
      <c r="C67" s="62">
        <f t="shared" si="5"/>
        <v>4892.9119340568632</v>
      </c>
      <c r="D67" s="62">
        <f t="shared" si="8"/>
        <v>96432.088065943142</v>
      </c>
      <c r="E67" s="62">
        <f t="shared" si="9"/>
        <v>31.493457022956562</v>
      </c>
      <c r="G67" s="61">
        <v>32.5</v>
      </c>
      <c r="H67" s="62">
        <f t="shared" si="10"/>
        <v>112.91097784019561</v>
      </c>
      <c r="I67" s="63">
        <f t="shared" si="6"/>
        <v>3.1493457022956563E-2</v>
      </c>
      <c r="J67" s="64">
        <f t="shared" si="11"/>
        <v>0.90958282488630571</v>
      </c>
      <c r="K67" s="61">
        <v>32.5</v>
      </c>
      <c r="L67" s="65"/>
      <c r="M67" s="66"/>
    </row>
    <row r="68" spans="1:13" x14ac:dyDescent="0.4">
      <c r="A68" s="61">
        <v>33</v>
      </c>
      <c r="B68" s="62">
        <f t="shared" si="7"/>
        <v>32.9</v>
      </c>
      <c r="C68" s="62">
        <f t="shared" ref="C68:C131" si="12">611.14*EXP(17.269*(((273.16+A68)-273.16)/((273.16+A68)-35.86)))</f>
        <v>5032.3333945579889</v>
      </c>
      <c r="D68" s="62">
        <f t="shared" si="8"/>
        <v>96292.666605442006</v>
      </c>
      <c r="E68" s="62">
        <f t="shared" si="9"/>
        <v>32.437748267782361</v>
      </c>
      <c r="G68" s="61">
        <v>33</v>
      </c>
      <c r="H68" s="62">
        <f t="shared" si="10"/>
        <v>115.85011784450795</v>
      </c>
      <c r="I68" s="63">
        <f t="shared" ref="I68:I131" si="13">(18/29)*(C68/($N$2-C68))</f>
        <v>3.2437748267782361E-2</v>
      </c>
      <c r="J68" s="64">
        <f t="shared" si="11"/>
        <v>0.91238197665318588</v>
      </c>
      <c r="K68" s="61">
        <v>33</v>
      </c>
      <c r="L68" s="65"/>
      <c r="M68" s="66"/>
    </row>
    <row r="69" spans="1:13" x14ac:dyDescent="0.4">
      <c r="A69" s="61">
        <v>33.5</v>
      </c>
      <c r="B69" s="62">
        <f t="shared" si="7"/>
        <v>33.4</v>
      </c>
      <c r="C69" s="62">
        <f t="shared" si="12"/>
        <v>5175.190644267981</v>
      </c>
      <c r="D69" s="62">
        <f t="shared" si="8"/>
        <v>96149.809355732024</v>
      </c>
      <c r="E69" s="62">
        <f t="shared" si="9"/>
        <v>33.408150447369543</v>
      </c>
      <c r="G69" s="61">
        <v>33.5</v>
      </c>
      <c r="H69" s="62">
        <f t="shared" si="10"/>
        <v>118.85761547778338</v>
      </c>
      <c r="I69" s="63">
        <f t="shared" si="13"/>
        <v>3.3408150447369542E-2</v>
      </c>
      <c r="J69" s="64">
        <f t="shared" si="11"/>
        <v>0.91522170657369151</v>
      </c>
      <c r="K69" s="61">
        <v>33.5</v>
      </c>
      <c r="L69" s="65"/>
      <c r="M69" s="66"/>
    </row>
    <row r="70" spans="1:13" x14ac:dyDescent="0.4">
      <c r="A70" s="61">
        <v>34</v>
      </c>
      <c r="B70" s="62">
        <f t="shared" si="7"/>
        <v>33.9</v>
      </c>
      <c r="C70" s="62">
        <f t="shared" si="12"/>
        <v>5321.5542078247017</v>
      </c>
      <c r="D70" s="62">
        <f t="shared" si="8"/>
        <v>96003.445792175306</v>
      </c>
      <c r="E70" s="62">
        <f t="shared" si="9"/>
        <v>34.405365546839917</v>
      </c>
      <c r="G70" s="61">
        <v>34</v>
      </c>
      <c r="H70" s="62">
        <f t="shared" si="10"/>
        <v>121.93533508074486</v>
      </c>
      <c r="I70" s="63">
        <f t="shared" si="13"/>
        <v>3.4405365546839914E-2</v>
      </c>
      <c r="J70" s="64">
        <f t="shared" si="11"/>
        <v>0.91810316966481254</v>
      </c>
      <c r="K70" s="61">
        <v>34</v>
      </c>
      <c r="L70" s="65"/>
      <c r="M70" s="66"/>
    </row>
    <row r="71" spans="1:13" x14ac:dyDescent="0.4">
      <c r="A71" s="61">
        <v>34.5</v>
      </c>
      <c r="B71" s="62">
        <f t="shared" si="7"/>
        <v>34.4</v>
      </c>
      <c r="C71" s="62">
        <f t="shared" si="12"/>
        <v>5471.4957368216355</v>
      </c>
      <c r="D71" s="62">
        <f t="shared" si="8"/>
        <v>95853.504263178358</v>
      </c>
      <c r="E71" s="62">
        <f t="shared" si="9"/>
        <v>35.430116282871758</v>
      </c>
      <c r="G71" s="61">
        <v>34.5</v>
      </c>
      <c r="H71" s="62">
        <f t="shared" si="10"/>
        <v>125.08519653760914</v>
      </c>
      <c r="I71" s="63">
        <f t="shared" si="13"/>
        <v>3.5430116282871758E-2</v>
      </c>
      <c r="J71" s="64">
        <f t="shared" si="11"/>
        <v>0.92102755622285448</v>
      </c>
      <c r="K71" s="61">
        <v>34.5</v>
      </c>
      <c r="L71" s="65"/>
      <c r="M71" s="66"/>
    </row>
    <row r="72" spans="1:13" x14ac:dyDescent="0.4">
      <c r="A72" s="61">
        <v>35</v>
      </c>
      <c r="B72" s="62">
        <f t="shared" si="7"/>
        <v>34.9</v>
      </c>
      <c r="C72" s="62">
        <f t="shared" si="12"/>
        <v>5625.0880217591912</v>
      </c>
      <c r="D72" s="62">
        <f t="shared" si="8"/>
        <v>95699.911978240809</v>
      </c>
      <c r="E72" s="62">
        <f t="shared" si="9"/>
        <v>36.483146874095681</v>
      </c>
      <c r="G72" s="61">
        <v>35</v>
      </c>
      <c r="H72" s="62">
        <f t="shared" si="10"/>
        <v>128.30917734019144</v>
      </c>
      <c r="I72" s="63">
        <f t="shared" si="13"/>
        <v>3.6483146874095679E-2</v>
      </c>
      <c r="J72" s="64">
        <f t="shared" si="11"/>
        <v>0.92399609313462738</v>
      </c>
      <c r="K72" s="61">
        <v>35</v>
      </c>
      <c r="L72" s="65"/>
      <c r="M72" s="66"/>
    </row>
    <row r="73" spans="1:13" x14ac:dyDescent="0.4">
      <c r="A73" s="61">
        <v>35.5</v>
      </c>
      <c r="B73" s="62">
        <f t="shared" si="7"/>
        <v>35.4</v>
      </c>
      <c r="C73" s="62">
        <f t="shared" si="12"/>
        <v>5782.4050040312259</v>
      </c>
      <c r="D73" s="62">
        <f t="shared" si="8"/>
        <v>95542.594995968771</v>
      </c>
      <c r="E73" s="62">
        <f t="shared" si="9"/>
        <v>37.565223847759377</v>
      </c>
      <c r="G73" s="61">
        <v>35.5</v>
      </c>
      <c r="H73" s="62">
        <f t="shared" si="10"/>
        <v>131.60931474897703</v>
      </c>
      <c r="I73" s="63">
        <f t="shared" si="13"/>
        <v>3.7565223847759378E-2</v>
      </c>
      <c r="J73" s="64">
        <f t="shared" si="11"/>
        <v>0.92701004524985864</v>
      </c>
      <c r="K73" s="61">
        <v>35.5</v>
      </c>
      <c r="L73" s="65"/>
      <c r="M73" s="66"/>
    </row>
    <row r="74" spans="1:13" x14ac:dyDescent="0.4">
      <c r="A74" s="61">
        <v>36</v>
      </c>
      <c r="B74" s="62">
        <f t="shared" si="7"/>
        <v>35.9</v>
      </c>
      <c r="C74" s="62">
        <f t="shared" si="12"/>
        <v>5943.5217879457796</v>
      </c>
      <c r="D74" s="62">
        <f t="shared" si="8"/>
        <v>95381.478212054222</v>
      </c>
      <c r="E74" s="62">
        <f t="shared" si="9"/>
        <v>38.677136884670041</v>
      </c>
      <c r="G74" s="61">
        <v>36</v>
      </c>
      <c r="H74" s="62">
        <f t="shared" si="10"/>
        <v>134.98770805652885</v>
      </c>
      <c r="I74" s="63">
        <f t="shared" si="13"/>
        <v>3.8677136884670039E-2</v>
      </c>
      <c r="J74" s="64">
        <f t="shared" si="11"/>
        <v>0.93007071681822728</v>
      </c>
      <c r="K74" s="61">
        <v>36</v>
      </c>
      <c r="L74" s="65"/>
      <c r="M74" s="66"/>
    </row>
    <row r="75" spans="1:13" x14ac:dyDescent="0.4">
      <c r="A75" s="61">
        <v>36.5</v>
      </c>
      <c r="B75" s="62">
        <f t="shared" si="7"/>
        <v>36.4</v>
      </c>
      <c r="C75" s="62">
        <f t="shared" si="12"/>
        <v>6108.5146527790366</v>
      </c>
      <c r="D75" s="62">
        <f t="shared" si="8"/>
        <v>95216.485347220965</v>
      </c>
      <c r="E75" s="62">
        <f t="shared" si="9"/>
        <v>39.819699704550345</v>
      </c>
      <c r="G75" s="61">
        <v>36.5</v>
      </c>
      <c r="H75" s="62">
        <f t="shared" si="10"/>
        <v>138.44652095894295</v>
      </c>
      <c r="I75" s="63">
        <f t="shared" si="13"/>
        <v>3.9819699704550349E-2</v>
      </c>
      <c r="J75" s="64">
        <f t="shared" si="11"/>
        <v>0.93317945299461535</v>
      </c>
      <c r="K75" s="61">
        <v>36.5</v>
      </c>
      <c r="L75" s="65"/>
      <c r="M75" s="66"/>
    </row>
    <row r="76" spans="1:13" x14ac:dyDescent="0.4">
      <c r="A76" s="61">
        <v>37</v>
      </c>
      <c r="B76" s="62">
        <f t="shared" si="7"/>
        <v>36.9</v>
      </c>
      <c r="C76" s="62">
        <f t="shared" si="12"/>
        <v>6277.4610648613852</v>
      </c>
      <c r="D76" s="62">
        <f t="shared" si="8"/>
        <v>95047.538935138611</v>
      </c>
      <c r="E76" s="62">
        <f t="shared" si="9"/>
        <v>40.993750994078646</v>
      </c>
      <c r="G76" s="61">
        <v>37</v>
      </c>
      <c r="H76" s="62">
        <f t="shared" si="10"/>
        <v>141.98798404142173</v>
      </c>
      <c r="I76" s="63">
        <f t="shared" si="13"/>
        <v>4.0993750994078648E-2</v>
      </c>
      <c r="J76" s="64">
        <f t="shared" si="11"/>
        <v>0.93633764141642151</v>
      </c>
      <c r="K76" s="61">
        <v>37</v>
      </c>
      <c r="L76" s="65"/>
      <c r="M76" s="66"/>
    </row>
    <row r="77" spans="1:13" x14ac:dyDescent="0.4">
      <c r="A77" s="61">
        <v>37.5</v>
      </c>
      <c r="B77" s="62">
        <f t="shared" si="7"/>
        <v>37.4</v>
      </c>
      <c r="C77" s="62">
        <f t="shared" si="12"/>
        <v>6450.4396896946337</v>
      </c>
      <c r="D77" s="62">
        <f t="shared" si="8"/>
        <v>94874.560310305373</v>
      </c>
      <c r="E77" s="62">
        <f t="shared" si="9"/>
        <v>42.200155380031056</v>
      </c>
      <c r="G77" s="61">
        <v>37.5</v>
      </c>
      <c r="H77" s="62">
        <f t="shared" si="10"/>
        <v>145.61439738442942</v>
      </c>
      <c r="I77" s="63">
        <f t="shared" si="13"/>
        <v>4.2200155380031058E-2</v>
      </c>
      <c r="J77" s="64">
        <f t="shared" si="11"/>
        <v>0.93954671385701072</v>
      </c>
      <c r="K77" s="61">
        <v>37.5</v>
      </c>
      <c r="L77" s="65"/>
      <c r="M77" s="66"/>
    </row>
    <row r="78" spans="1:13" x14ac:dyDescent="0.4">
      <c r="A78" s="61">
        <v>38</v>
      </c>
      <c r="B78" s="62">
        <f t="shared" si="7"/>
        <v>37.9</v>
      </c>
      <c r="C78" s="62">
        <f t="shared" si="12"/>
        <v>6627.5304040992705</v>
      </c>
      <c r="D78" s="62">
        <f t="shared" si="8"/>
        <v>94697.469595900737</v>
      </c>
      <c r="E78" s="62">
        <f t="shared" si="9"/>
        <v>43.439804450098379</v>
      </c>
      <c r="G78" s="61">
        <v>38</v>
      </c>
      <c r="H78" s="62">
        <f t="shared" si="10"/>
        <v>149.32813329730971</v>
      </c>
      <c r="I78" s="63">
        <f t="shared" si="13"/>
        <v>4.3439804450098381E-2</v>
      </c>
      <c r="J78" s="64">
        <f t="shared" si="11"/>
        <v>0.94280814795964751</v>
      </c>
      <c r="K78" s="61">
        <v>38</v>
      </c>
      <c r="L78" s="65"/>
      <c r="M78" s="66"/>
    </row>
    <row r="79" spans="1:13" x14ac:dyDescent="0.4">
      <c r="A79" s="61">
        <v>38.5</v>
      </c>
      <c r="B79" s="62">
        <f t="shared" si="7"/>
        <v>38.4</v>
      </c>
      <c r="C79" s="62">
        <f t="shared" si="12"/>
        <v>6808.8143083907507</v>
      </c>
      <c r="D79" s="62">
        <f t="shared" si="8"/>
        <v>94516.185691609251</v>
      </c>
      <c r="E79" s="62">
        <f t="shared" si="9"/>
        <v>44.7136178241187</v>
      </c>
      <c r="G79" s="61">
        <v>38.5</v>
      </c>
      <c r="H79" s="62">
        <f t="shared" si="10"/>
        <v>153.13163918669292</v>
      </c>
      <c r="I79" s="63">
        <f t="shared" si="13"/>
        <v>4.4713617824118701E-2</v>
      </c>
      <c r="J79" s="64">
        <f t="shared" si="11"/>
        <v>0.94612346905654254</v>
      </c>
      <c r="K79" s="61">
        <v>38.5</v>
      </c>
      <c r="L79" s="65"/>
      <c r="M79" s="66"/>
    </row>
    <row r="80" spans="1:13" x14ac:dyDescent="0.4">
      <c r="A80" s="61">
        <v>39</v>
      </c>
      <c r="B80" s="62">
        <f t="shared" si="7"/>
        <v>38.9</v>
      </c>
      <c r="C80" s="62">
        <f t="shared" si="12"/>
        <v>6994.3737385836848</v>
      </c>
      <c r="D80" s="62">
        <f t="shared" si="8"/>
        <v>94330.626261416313</v>
      </c>
      <c r="E80" s="62">
        <f t="shared" si="9"/>
        <v>46.022544278646585</v>
      </c>
      <c r="G80" s="61">
        <v>39</v>
      </c>
      <c r="H80" s="62">
        <f t="shared" si="10"/>
        <v>157.02744056750441</v>
      </c>
      <c r="I80" s="63">
        <f t="shared" si="13"/>
        <v>4.6022544278646584E-2</v>
      </c>
      <c r="J80" s="64">
        <f t="shared" si="11"/>
        <v>0.94949425207794602</v>
      </c>
      <c r="K80" s="61">
        <v>39</v>
      </c>
      <c r="L80" s="65"/>
      <c r="M80" s="66"/>
    </row>
    <row r="81" spans="1:13" x14ac:dyDescent="0.4">
      <c r="A81" s="61">
        <v>39.5</v>
      </c>
      <c r="B81" s="62">
        <f t="shared" si="7"/>
        <v>39.4</v>
      </c>
      <c r="C81" s="62">
        <f t="shared" si="12"/>
        <v>7184.2922786229947</v>
      </c>
      <c r="D81" s="62">
        <f t="shared" si="8"/>
        <v>94140.70772137701</v>
      </c>
      <c r="E81" s="62">
        <f t="shared" si="9"/>
        <v>47.367562927974092</v>
      </c>
      <c r="G81" s="61">
        <v>39.5</v>
      </c>
      <c r="H81" s="62">
        <f t="shared" si="10"/>
        <v>161.0181442249029</v>
      </c>
      <c r="I81" s="63">
        <f t="shared" si="13"/>
        <v>4.7367562927974088E-2</v>
      </c>
      <c r="J81" s="64">
        <f t="shared" si="11"/>
        <v>0.95292212355654771</v>
      </c>
      <c r="K81" s="61">
        <v>39.5</v>
      </c>
      <c r="L81" s="65"/>
      <c r="M81" s="66"/>
    </row>
    <row r="82" spans="1:13" x14ac:dyDescent="0.4">
      <c r="A82" s="61">
        <v>40</v>
      </c>
      <c r="B82" s="62">
        <f t="shared" si="7"/>
        <v>39.9</v>
      </c>
      <c r="C82" s="62">
        <f t="shared" si="12"/>
        <v>7378.6547726408189</v>
      </c>
      <c r="D82" s="62">
        <f t="shared" si="8"/>
        <v>93946.345227359183</v>
      </c>
      <c r="E82" s="62">
        <f t="shared" si="9"/>
        <v>48.749684464925451</v>
      </c>
      <c r="G82" s="61">
        <v>40</v>
      </c>
      <c r="H82" s="62">
        <f t="shared" si="10"/>
        <v>165.10644153603198</v>
      </c>
      <c r="I82" s="63">
        <f t="shared" si="13"/>
        <v>4.8749684464925454E-2</v>
      </c>
      <c r="J82" s="64">
        <f t="shared" si="11"/>
        <v>0.95640876373279526</v>
      </c>
      <c r="K82" s="61">
        <v>40</v>
      </c>
      <c r="L82" s="65"/>
      <c r="M82" s="66"/>
    </row>
    <row r="83" spans="1:13" x14ac:dyDescent="0.4">
      <c r="A83" s="61">
        <v>40.5</v>
      </c>
      <c r="B83" s="62">
        <f t="shared" si="7"/>
        <v>40.4</v>
      </c>
      <c r="C83" s="62">
        <f t="shared" si="12"/>
        <v>7577.5473372381693</v>
      </c>
      <c r="D83" s="62">
        <f t="shared" si="8"/>
        <v>93747.452662761832</v>
      </c>
      <c r="E83" s="62">
        <f t="shared" si="9"/>
        <v>50.169952464972297</v>
      </c>
      <c r="G83" s="61">
        <v>40.5</v>
      </c>
      <c r="H83" s="62">
        <f t="shared" si="10"/>
        <v>169.2951119610691</v>
      </c>
      <c r="I83" s="63">
        <f t="shared" si="13"/>
        <v>5.0169952464972301E-2</v>
      </c>
      <c r="J83" s="64">
        <f t="shared" si="11"/>
        <v>0.959955908767126</v>
      </c>
      <c r="K83" s="61">
        <v>40.5</v>
      </c>
      <c r="L83" s="65"/>
      <c r="M83" s="66"/>
    </row>
    <row r="84" spans="1:13" x14ac:dyDescent="0.4">
      <c r="A84" s="61">
        <v>41</v>
      </c>
      <c r="B84" s="62">
        <f t="shared" si="7"/>
        <v>40.9</v>
      </c>
      <c r="C84" s="62">
        <f t="shared" si="12"/>
        <v>7781.0573737902514</v>
      </c>
      <c r="D84" s="62">
        <f t="shared" si="8"/>
        <v>93543.942626209755</v>
      </c>
      <c r="E84" s="62">
        <f t="shared" si="9"/>
        <v>51.629444757457165</v>
      </c>
      <c r="G84" s="61">
        <v>41</v>
      </c>
      <c r="H84" s="62">
        <f t="shared" si="10"/>
        <v>173.58702671370077</v>
      </c>
      <c r="I84" s="63">
        <f t="shared" si="13"/>
        <v>5.1629444757457163E-2</v>
      </c>
      <c r="J84" s="64">
        <f t="shared" si="11"/>
        <v>0.96356535306550706</v>
      </c>
      <c r="K84" s="61">
        <v>41</v>
      </c>
      <c r="L84" s="65"/>
      <c r="M84" s="66"/>
    </row>
    <row r="85" spans="1:13" x14ac:dyDescent="0.4">
      <c r="A85" s="61">
        <v>41.5</v>
      </c>
      <c r="B85" s="62">
        <f t="shared" si="7"/>
        <v>41.4</v>
      </c>
      <c r="C85" s="62">
        <f t="shared" si="12"/>
        <v>7989.273580774382</v>
      </c>
      <c r="D85" s="62">
        <f t="shared" si="8"/>
        <v>93335.726419225612</v>
      </c>
      <c r="E85" s="62">
        <f t="shared" si="9"/>
        <v>53.129274867972569</v>
      </c>
      <c r="G85" s="61">
        <v>41.5</v>
      </c>
      <c r="H85" s="62">
        <f t="shared" si="10"/>
        <v>177.98515262184699</v>
      </c>
      <c r="I85" s="63">
        <f t="shared" si="13"/>
        <v>5.3129274867972566E-2</v>
      </c>
      <c r="J85" s="64">
        <f t="shared" si="11"/>
        <v>0.96723895172512375</v>
      </c>
      <c r="K85" s="61">
        <v>41.5</v>
      </c>
      <c r="L85" s="65"/>
      <c r="M85" s="66"/>
    </row>
    <row r="86" spans="1:13" x14ac:dyDescent="0.4">
      <c r="A86" s="61">
        <v>42</v>
      </c>
      <c r="B86" s="62">
        <f t="shared" si="7"/>
        <v>41.9</v>
      </c>
      <c r="C86" s="62">
        <f t="shared" si="12"/>
        <v>8202.2859661193343</v>
      </c>
      <c r="D86" s="62">
        <f t="shared" si="8"/>
        <v>93122.714033880664</v>
      </c>
      <c r="E86" s="62">
        <f t="shared" si="9"/>
        <v>54.670593536222142</v>
      </c>
      <c r="G86" s="61">
        <v>42</v>
      </c>
      <c r="H86" s="62">
        <f t="shared" si="10"/>
        <v>182.49255619020454</v>
      </c>
      <c r="I86" s="63">
        <f t="shared" si="13"/>
        <v>5.467059353622214E-2</v>
      </c>
      <c r="J86" s="64">
        <f t="shared" si="11"/>
        <v>0.97097862310752703</v>
      </c>
      <c r="K86" s="61">
        <v>42</v>
      </c>
      <c r="L86" s="65"/>
      <c r="M86" s="66"/>
    </row>
    <row r="87" spans="1:13" x14ac:dyDescent="0.4">
      <c r="A87" s="61">
        <v>42.5</v>
      </c>
      <c r="B87" s="62">
        <f t="shared" si="7"/>
        <v>42.4</v>
      </c>
      <c r="C87" s="62">
        <f t="shared" si="12"/>
        <v>8420.1858595751073</v>
      </c>
      <c r="D87" s="62">
        <f t="shared" si="8"/>
        <v>92904.814140424889</v>
      </c>
      <c r="E87" s="62">
        <f t="shared" si="9"/>
        <v>56.254590313993454</v>
      </c>
      <c r="G87" s="61">
        <v>42.5</v>
      </c>
      <c r="H87" s="62">
        <f t="shared" si="10"/>
        <v>187.11240787698978</v>
      </c>
      <c r="I87" s="63">
        <f t="shared" si="13"/>
        <v>5.6254590313993456E-2</v>
      </c>
      <c r="J87" s="64">
        <f t="shared" si="11"/>
        <v>0.9747863515470615</v>
      </c>
      <c r="K87" s="61">
        <v>42.5</v>
      </c>
      <c r="L87" s="65"/>
      <c r="M87" s="66"/>
    </row>
    <row r="88" spans="1:13" x14ac:dyDescent="0.4">
      <c r="A88" s="61">
        <v>43</v>
      </c>
      <c r="B88" s="62">
        <f t="shared" si="7"/>
        <v>42.9</v>
      </c>
      <c r="C88" s="62">
        <f t="shared" si="12"/>
        <v>8643.0659251019806</v>
      </c>
      <c r="D88" s="62">
        <f t="shared" si="8"/>
        <v>92681.934074898018</v>
      </c>
      <c r="E88" s="62">
        <f t="shared" si="9"/>
        <v>57.88249524819696</v>
      </c>
      <c r="G88" s="61">
        <v>43</v>
      </c>
      <c r="H88" s="62">
        <f t="shared" si="10"/>
        <v>191.84798659813009</v>
      </c>
      <c r="I88" s="63">
        <f t="shared" si="13"/>
        <v>5.7882495248196962E-2</v>
      </c>
      <c r="J88" s="64">
        <f t="shared" si="11"/>
        <v>0.97866419020294715</v>
      </c>
      <c r="K88" s="61">
        <v>43</v>
      </c>
      <c r="L88" s="65"/>
      <c r="M88" s="66"/>
    </row>
    <row r="89" spans="1:13" x14ac:dyDescent="0.4">
      <c r="A89" s="61">
        <v>43.5</v>
      </c>
      <c r="B89" s="62">
        <f t="shared" si="7"/>
        <v>43.4</v>
      </c>
      <c r="C89" s="62">
        <f t="shared" si="12"/>
        <v>8871.0201732777332</v>
      </c>
      <c r="D89" s="62">
        <f t="shared" si="8"/>
        <v>92453.979826722265</v>
      </c>
      <c r="E89" s="62">
        <f t="shared" si="9"/>
        <v>59.555580654277286</v>
      </c>
      <c r="G89" s="61">
        <v>43.5</v>
      </c>
      <c r="H89" s="62">
        <f t="shared" si="10"/>
        <v>196.70268447309439</v>
      </c>
      <c r="I89" s="63">
        <f t="shared" si="13"/>
        <v>5.9555580654277289E-2</v>
      </c>
      <c r="J89" s="64">
        <f t="shared" si="11"/>
        <v>0.98261426406397823</v>
      </c>
      <c r="K89" s="61">
        <v>43.5</v>
      </c>
      <c r="L89" s="65"/>
      <c r="M89" s="66"/>
    </row>
    <row r="90" spans="1:13" x14ac:dyDescent="0.4">
      <c r="A90" s="61">
        <v>44</v>
      </c>
      <c r="B90" s="62">
        <f t="shared" si="7"/>
        <v>43.9</v>
      </c>
      <c r="C90" s="62">
        <f t="shared" si="12"/>
        <v>9104.1439737219407</v>
      </c>
      <c r="D90" s="62">
        <f t="shared" si="8"/>
        <v>92220.856026278052</v>
      </c>
      <c r="E90" s="62">
        <f t="shared" si="9"/>
        <v>61.275162985683941</v>
      </c>
      <c r="G90" s="61">
        <v>44</v>
      </c>
      <c r="H90" s="62">
        <f t="shared" si="10"/>
        <v>201.68001182757172</v>
      </c>
      <c r="I90" s="63">
        <f t="shared" si="13"/>
        <v>6.1275162985683938E-2</v>
      </c>
      <c r="J90" s="64">
        <f t="shared" si="11"/>
        <v>0.98663877311545733</v>
      </c>
      <c r="K90" s="61">
        <v>44</v>
      </c>
      <c r="L90" s="65"/>
      <c r="M90" s="66"/>
    </row>
    <row r="91" spans="1:13" x14ac:dyDescent="0.4">
      <c r="A91" s="61">
        <v>44.5</v>
      </c>
      <c r="B91" s="62">
        <f t="shared" si="7"/>
        <v>44.4</v>
      </c>
      <c r="C91" s="62">
        <f t="shared" si="12"/>
        <v>9342.5340675363059</v>
      </c>
      <c r="D91" s="62">
        <f t="shared" si="8"/>
        <v>91982.465932463689</v>
      </c>
      <c r="E91" s="62">
        <f t="shared" si="9"/>
        <v>63.0426048054996</v>
      </c>
      <c r="G91" s="61">
        <v>44.5</v>
      </c>
      <c r="H91" s="62">
        <f t="shared" si="10"/>
        <v>206.78360246930561</v>
      </c>
      <c r="I91" s="63">
        <f t="shared" si="13"/>
        <v>6.30426048054996E-2</v>
      </c>
      <c r="J91" s="64">
        <f t="shared" si="11"/>
        <v>0.99073999567866167</v>
      </c>
      <c r="K91" s="61">
        <v>44.5</v>
      </c>
      <c r="L91" s="65"/>
      <c r="M91" s="66"/>
    </row>
    <row r="92" spans="1:13" x14ac:dyDescent="0.4">
      <c r="A92" s="61">
        <v>45</v>
      </c>
      <c r="B92" s="62">
        <f t="shared" si="7"/>
        <v>44.9</v>
      </c>
      <c r="C92" s="62">
        <f t="shared" si="12"/>
        <v>9586.2885797597028</v>
      </c>
      <c r="D92" s="62">
        <f t="shared" si="8"/>
        <v>91738.711420240303</v>
      </c>
      <c r="E92" s="62">
        <f t="shared" si="9"/>
        <v>64.859316866767401</v>
      </c>
      <c r="G92" s="61">
        <v>45</v>
      </c>
      <c r="H92" s="62">
        <f t="shared" si="10"/>
        <v>212.01721925457903</v>
      </c>
      <c r="I92" s="63">
        <f t="shared" si="13"/>
        <v>6.4859316866767394E-2</v>
      </c>
      <c r="J92" s="64">
        <f t="shared" si="11"/>
        <v>0.99492029193390286</v>
      </c>
      <c r="K92" s="61">
        <v>45</v>
      </c>
      <c r="L92" s="65"/>
      <c r="M92" s="66"/>
    </row>
    <row r="93" spans="1:13" x14ac:dyDescent="0.4">
      <c r="A93" s="61">
        <v>45.5</v>
      </c>
      <c r="B93" s="62">
        <f t="shared" si="7"/>
        <v>45.4</v>
      </c>
      <c r="C93" s="62">
        <f t="shared" si="12"/>
        <v>9835.5070318371127</v>
      </c>
      <c r="D93" s="62">
        <f t="shared" si="8"/>
        <v>91489.492968162886</v>
      </c>
      <c r="E93" s="62">
        <f t="shared" si="9"/>
        <v>66.726760308544016</v>
      </c>
      <c r="G93" s="61">
        <v>45.5</v>
      </c>
      <c r="H93" s="62">
        <f t="shared" si="10"/>
        <v>217.38475996414181</v>
      </c>
      <c r="I93" s="63">
        <f t="shared" si="13"/>
        <v>6.672676030854402E-2</v>
      </c>
      <c r="J93" s="64">
        <f t="shared" si="11"/>
        <v>0.99918210763905457</v>
      </c>
      <c r="K93" s="61">
        <v>45.5</v>
      </c>
      <c r="L93" s="65"/>
      <c r="M93" s="66"/>
    </row>
    <row r="94" spans="1:13" x14ac:dyDescent="0.4">
      <c r="A94" s="61">
        <v>46</v>
      </c>
      <c r="B94" s="62">
        <f t="shared" si="7"/>
        <v>45.9</v>
      </c>
      <c r="C94" s="62">
        <f t="shared" si="12"/>
        <v>10090.290354101055</v>
      </c>
      <c r="D94" s="62">
        <f t="shared" si="8"/>
        <v>91234.70964589894</v>
      </c>
      <c r="E94" s="62">
        <f t="shared" si="9"/>
        <v>68.646448975223322</v>
      </c>
      <c r="G94" s="61">
        <v>46</v>
      </c>
      <c r="H94" s="62">
        <f t="shared" si="10"/>
        <v>222.8902635087577</v>
      </c>
      <c r="I94" s="63">
        <f t="shared" si="13"/>
        <v>6.8646448975223318E-2</v>
      </c>
      <c r="J94" s="64">
        <f t="shared" si="11"/>
        <v>1.0035279780562985</v>
      </c>
      <c r="K94" s="61">
        <v>46</v>
      </c>
      <c r="L94" s="65"/>
      <c r="M94" s="66"/>
    </row>
    <row r="95" spans="1:13" x14ac:dyDescent="0.4">
      <c r="A95" s="61">
        <v>46.5</v>
      </c>
      <c r="B95" s="62">
        <f t="shared" si="7"/>
        <v>46.4</v>
      </c>
      <c r="C95" s="62">
        <f t="shared" si="12"/>
        <v>10350.740898264583</v>
      </c>
      <c r="D95" s="62">
        <f t="shared" si="8"/>
        <v>90974.259101735413</v>
      </c>
      <c r="E95" s="62">
        <f t="shared" si="9"/>
        <v>70.619951867245163</v>
      </c>
      <c r="G95" s="61">
        <v>46.5</v>
      </c>
      <c r="H95" s="62">
        <f t="shared" si="10"/>
        <v>228.5379164860733</v>
      </c>
      <c r="I95" s="63">
        <f t="shared" si="13"/>
        <v>7.0619951867245165E-2</v>
      </c>
      <c r="J95" s="64">
        <f t="shared" si="11"/>
        <v>1.0079605321008069</v>
      </c>
      <c r="K95" s="61">
        <v>46.5</v>
      </c>
      <c r="L95" s="65"/>
      <c r="M95" s="66"/>
    </row>
    <row r="96" spans="1:13" x14ac:dyDescent="0.4">
      <c r="A96" s="61">
        <v>47</v>
      </c>
      <c r="B96" s="62">
        <f t="shared" si="7"/>
        <v>46.9</v>
      </c>
      <c r="C96" s="62">
        <f t="shared" si="12"/>
        <v>10616.962449924635</v>
      </c>
      <c r="D96" s="62">
        <f t="shared" si="8"/>
        <v>90708.037550075358</v>
      </c>
      <c r="E96" s="62">
        <f t="shared" si="9"/>
        <v>72.648895731916468</v>
      </c>
      <c r="G96" s="61">
        <v>47</v>
      </c>
      <c r="H96" s="62">
        <f t="shared" si="10"/>
        <v>234.33206011214838</v>
      </c>
      <c r="I96" s="63">
        <f t="shared" si="13"/>
        <v>7.2648895731916463E-2</v>
      </c>
      <c r="J96" s="64">
        <f t="shared" si="11"/>
        <v>1.0124824967261086</v>
      </c>
      <c r="K96" s="61">
        <v>47</v>
      </c>
      <c r="L96" s="65"/>
      <c r="M96" s="66"/>
    </row>
    <row r="97" spans="1:13" x14ac:dyDescent="0.4">
      <c r="A97" s="61">
        <v>47.5</v>
      </c>
      <c r="B97" s="62">
        <f t="shared" si="7"/>
        <v>47.4</v>
      </c>
      <c r="C97" s="62">
        <f t="shared" si="12"/>
        <v>10889.060241074585</v>
      </c>
      <c r="D97" s="62">
        <f t="shared" si="8"/>
        <v>90435.939758925408</v>
      </c>
      <c r="E97" s="62">
        <f t="shared" si="9"/>
        <v>74.734967803739607</v>
      </c>
      <c r="G97" s="61">
        <v>47.5</v>
      </c>
      <c r="H97" s="62">
        <f t="shared" si="10"/>
        <v>240.27719755277434</v>
      </c>
      <c r="I97" s="63">
        <f t="shared" si="13"/>
        <v>7.4734967803739602E-2</v>
      </c>
      <c r="J97" s="64">
        <f t="shared" si="11"/>
        <v>1.0170967015620218</v>
      </c>
      <c r="K97" s="61">
        <v>47.5</v>
      </c>
      <c r="L97" s="65"/>
      <c r="M97" s="66"/>
    </row>
    <row r="98" spans="1:13" x14ac:dyDescent="0.4">
      <c r="A98" s="61">
        <v>48</v>
      </c>
      <c r="B98" s="62">
        <f t="shared" si="7"/>
        <v>47.9</v>
      </c>
      <c r="C98" s="62">
        <f t="shared" si="12"/>
        <v>11167.14096262497</v>
      </c>
      <c r="D98" s="62">
        <f t="shared" si="8"/>
        <v>90157.859037375034</v>
      </c>
      <c r="E98" s="62">
        <f t="shared" si="9"/>
        <v>76.879918704369842</v>
      </c>
      <c r="G98" s="61">
        <v>48</v>
      </c>
      <c r="H98" s="62">
        <f t="shared" si="10"/>
        <v>246.37800168165012</v>
      </c>
      <c r="I98" s="63">
        <f t="shared" si="13"/>
        <v>7.6879918704369846E-2</v>
      </c>
      <c r="J98" s="64">
        <f t="shared" si="11"/>
        <v>1.0218060838222618</v>
      </c>
      <c r="K98" s="61">
        <v>48</v>
      </c>
      <c r="L98" s="65"/>
      <c r="M98" s="66"/>
    </row>
    <row r="99" spans="1:13" x14ac:dyDescent="0.4">
      <c r="A99" s="61">
        <v>48.5</v>
      </c>
      <c r="B99" s="62">
        <f t="shared" si="7"/>
        <v>48.4</v>
      </c>
      <c r="C99" s="62">
        <f t="shared" si="12"/>
        <v>11451.312776931138</v>
      </c>
      <c r="D99" s="62">
        <f t="shared" si="8"/>
        <v>89873.68722306886</v>
      </c>
      <c r="E99" s="62">
        <f t="shared" si="9"/>
        <v>79.085565513110822</v>
      </c>
      <c r="G99" s="61">
        <v>48.5</v>
      </c>
      <c r="H99" s="62">
        <f t="shared" si="10"/>
        <v>252.63932329459206</v>
      </c>
      <c r="I99" s="63">
        <f t="shared" si="13"/>
        <v>7.9085565513110828E-2</v>
      </c>
      <c r="J99" s="64">
        <f t="shared" si="11"/>
        <v>1.0266136935001609</v>
      </c>
      <c r="K99" s="61">
        <v>48.5</v>
      </c>
      <c r="L99" s="65"/>
      <c r="M99" s="66"/>
    </row>
    <row r="100" spans="1:13" x14ac:dyDescent="0.4">
      <c r="A100" s="61">
        <v>49</v>
      </c>
      <c r="B100" s="62">
        <f t="shared" si="7"/>
        <v>48.9</v>
      </c>
      <c r="C100" s="62">
        <f t="shared" si="12"/>
        <v>11741.685330326769</v>
      </c>
      <c r="D100" s="62">
        <f t="shared" si="8"/>
        <v>89583.314669673229</v>
      </c>
      <c r="E100" s="62">
        <f t="shared" si="9"/>
        <v>81.35379501971822</v>
      </c>
      <c r="G100" s="61">
        <v>49</v>
      </c>
      <c r="H100" s="62">
        <f t="shared" si="10"/>
        <v>259.06619981125561</v>
      </c>
      <c r="I100" s="63">
        <f t="shared" si="13"/>
        <v>8.135379501971822E-2</v>
      </c>
      <c r="J100" s="64">
        <f t="shared" si="11"/>
        <v>1.0315226988723996</v>
      </c>
      <c r="K100" s="61">
        <v>49</v>
      </c>
      <c r="L100" s="65"/>
      <c r="M100" s="66"/>
    </row>
    <row r="101" spans="1:13" x14ac:dyDescent="0.4">
      <c r="A101" s="61">
        <v>49.5</v>
      </c>
      <c r="B101" s="62">
        <f t="shared" si="7"/>
        <v>49.4</v>
      </c>
      <c r="C101" s="62">
        <f t="shared" si="12"/>
        <v>12038.369765662128</v>
      </c>
      <c r="D101" s="62">
        <f t="shared" si="8"/>
        <v>89286.630234337877</v>
      </c>
      <c r="E101" s="62">
        <f t="shared" si="9"/>
        <v>83.686567172217224</v>
      </c>
      <c r="G101" s="61">
        <v>49.5</v>
      </c>
      <c r="H101" s="62">
        <f t="shared" si="10"/>
        <v>265.66386449835079</v>
      </c>
      <c r="I101" s="63">
        <f t="shared" si="13"/>
        <v>8.368656717221723E-2</v>
      </c>
      <c r="J101" s="64">
        <f t="shared" si="11"/>
        <v>1.0365363923322259</v>
      </c>
      <c r="K101" s="61">
        <v>49.5</v>
      </c>
      <c r="L101" s="65"/>
      <c r="M101" s="66"/>
    </row>
    <row r="102" spans="1:13" x14ac:dyDescent="0.4">
      <c r="A102" s="61">
        <v>50</v>
      </c>
      <c r="B102" s="62">
        <f t="shared" si="7"/>
        <v>49.9</v>
      </c>
      <c r="C102" s="62">
        <f t="shared" si="12"/>
        <v>12341.478734845845</v>
      </c>
      <c r="D102" s="62">
        <f t="shared" si="8"/>
        <v>88983.521265154151</v>
      </c>
      <c r="E102" s="62">
        <f t="shared" si="9"/>
        <v>86.085918733459721</v>
      </c>
      <c r="G102" s="61">
        <v>50</v>
      </c>
      <c r="H102" s="62">
        <f t="shared" si="10"/>
        <v>272.43775625105951</v>
      </c>
      <c r="I102" s="63">
        <f t="shared" si="13"/>
        <v>8.6085918733459721E-2</v>
      </c>
      <c r="J102" s="64">
        <f t="shared" si="11"/>
        <v>1.0416581965753622</v>
      </c>
      <c r="K102" s="61">
        <v>50</v>
      </c>
      <c r="L102" s="65"/>
      <c r="M102" s="66"/>
    </row>
    <row r="103" spans="1:13" x14ac:dyDescent="0.4">
      <c r="A103" s="61">
        <v>50.5</v>
      </c>
      <c r="B103" s="62">
        <f t="shared" si="7"/>
        <v>50.4</v>
      </c>
      <c r="C103" s="62">
        <f t="shared" si="12"/>
        <v>12651.126411389183</v>
      </c>
      <c r="D103" s="62">
        <f t="shared" si="8"/>
        <v>88673.873588610819</v>
      </c>
      <c r="E103" s="62">
        <f t="shared" si="9"/>
        <v>88.553967161262335</v>
      </c>
      <c r="G103" s="61">
        <v>50.5</v>
      </c>
      <c r="H103" s="62">
        <f t="shared" si="10"/>
        <v>279.39352997234965</v>
      </c>
      <c r="I103" s="63">
        <f t="shared" si="13"/>
        <v>8.8553967161262334E-2</v>
      </c>
      <c r="J103" s="64">
        <f t="shared" si="11"/>
        <v>1.0468916711636895</v>
      </c>
      <c r="K103" s="61">
        <v>50.5</v>
      </c>
      <c r="L103" s="65"/>
      <c r="M103" s="66"/>
    </row>
    <row r="104" spans="1:13" x14ac:dyDescent="0.4">
      <c r="A104" s="61">
        <v>51</v>
      </c>
      <c r="B104" s="62">
        <f t="shared" si="7"/>
        <v>50.9</v>
      </c>
      <c r="C104" s="62">
        <f t="shared" si="12"/>
        <v>12967.428502951529</v>
      </c>
      <c r="D104" s="62">
        <f t="shared" si="8"/>
        <v>88357.57149704847</v>
      </c>
      <c r="E104" s="62">
        <f t="shared" si="9"/>
        <v>91.092914728182393</v>
      </c>
      <c r="G104" s="61">
        <v>51</v>
      </c>
      <c r="H104" s="62">
        <f t="shared" si="10"/>
        <v>286.53706759312769</v>
      </c>
      <c r="I104" s="63">
        <f t="shared" si="13"/>
        <v>9.1092914728182386E-2</v>
      </c>
      <c r="J104" s="64">
        <f t="shared" si="11"/>
        <v>1.0522405194938531</v>
      </c>
      <c r="K104" s="61">
        <v>51</v>
      </c>
      <c r="L104" s="65"/>
      <c r="M104" s="66"/>
    </row>
    <row r="105" spans="1:13" x14ac:dyDescent="0.4">
      <c r="A105" s="61">
        <v>51.5</v>
      </c>
      <c r="B105" s="62">
        <f t="shared" si="7"/>
        <v>51.4</v>
      </c>
      <c r="C105" s="62">
        <f t="shared" si="12"/>
        <v>13290.502263886183</v>
      </c>
      <c r="D105" s="62">
        <f t="shared" si="8"/>
        <v>88034.497736113815</v>
      </c>
      <c r="E105" s="62">
        <f t="shared" si="9"/>
        <v>93.705052898321384</v>
      </c>
      <c r="G105" s="61">
        <v>51.5</v>
      </c>
      <c r="H105" s="62">
        <f t="shared" si="10"/>
        <v>293.87448977974077</v>
      </c>
      <c r="I105" s="63">
        <f t="shared" si="13"/>
        <v>9.3705052898321387E-2</v>
      </c>
      <c r="J105" s="64">
        <f t="shared" si="11"/>
        <v>1.0577085962001851</v>
      </c>
      <c r="K105" s="61">
        <v>51.5</v>
      </c>
      <c r="L105" s="65"/>
      <c r="M105" s="66"/>
    </row>
    <row r="106" spans="1:13" x14ac:dyDescent="0.4">
      <c r="A106" s="61">
        <v>52</v>
      </c>
      <c r="B106" s="62">
        <f t="shared" si="7"/>
        <v>51.9</v>
      </c>
      <c r="C106" s="62">
        <f t="shared" si="12"/>
        <v>13620.466507785004</v>
      </c>
      <c r="D106" s="62">
        <f t="shared" si="8"/>
        <v>87704.533492214992</v>
      </c>
      <c r="E106" s="62">
        <f t="shared" si="9"/>
        <v>96.392766979997731</v>
      </c>
      <c r="G106" s="61">
        <v>52</v>
      </c>
      <c r="H106" s="62">
        <f t="shared" si="10"/>
        <v>301.41216837921894</v>
      </c>
      <c r="I106" s="63">
        <f t="shared" si="13"/>
        <v>9.6392766979997727E-2</v>
      </c>
      <c r="J106" s="64">
        <f t="shared" si="11"/>
        <v>1.0632999150237932</v>
      </c>
      <c r="K106" s="61">
        <v>52</v>
      </c>
      <c r="L106" s="65"/>
      <c r="M106" s="66"/>
    </row>
    <row r="107" spans="1:13" x14ac:dyDescent="0.4">
      <c r="A107" s="61">
        <v>52.5</v>
      </c>
      <c r="B107" s="62">
        <f t="shared" si="7"/>
        <v>52.4</v>
      </c>
      <c r="C107" s="62">
        <f t="shared" si="12"/>
        <v>13957.44162002106</v>
      </c>
      <c r="D107" s="62">
        <f t="shared" si="8"/>
        <v>87367.558379978946</v>
      </c>
      <c r="E107" s="62">
        <f t="shared" si="9"/>
        <v>99.15854107472947</v>
      </c>
      <c r="G107" s="61">
        <v>52.5</v>
      </c>
      <c r="H107" s="62">
        <f t="shared" si="10"/>
        <v>309.15673965692798</v>
      </c>
      <c r="I107" s="63">
        <f t="shared" si="13"/>
        <v>9.9158541074729475E-2</v>
      </c>
      <c r="J107" s="64">
        <f t="shared" si="11"/>
        <v>1.0690186571823745</v>
      </c>
      <c r="K107" s="61">
        <v>52.5</v>
      </c>
      <c r="L107" s="65"/>
      <c r="M107" s="66"/>
    </row>
    <row r="108" spans="1:13" x14ac:dyDescent="0.4">
      <c r="A108" s="61">
        <v>53</v>
      </c>
      <c r="B108" s="62">
        <f t="shared" si="7"/>
        <v>52.9</v>
      </c>
      <c r="C108" s="62">
        <f t="shared" si="12"/>
        <v>14301.549570287951</v>
      </c>
      <c r="D108" s="62">
        <f t="shared" si="8"/>
        <v>87023.450429712044</v>
      </c>
      <c r="E108" s="62">
        <f t="shared" si="9"/>
        <v>102.00496334471283</v>
      </c>
      <c r="G108" s="61">
        <v>53</v>
      </c>
      <c r="H108" s="62">
        <f t="shared" si="10"/>
        <v>317.115118385968</v>
      </c>
      <c r="I108" s="63">
        <f t="shared" si="13"/>
        <v>0.10200496334471283</v>
      </c>
      <c r="J108" s="64">
        <f t="shared" si="11"/>
        <v>1.0748691802782537</v>
      </c>
      <c r="K108" s="61">
        <v>53</v>
      </c>
      <c r="L108" s="65"/>
      <c r="M108" s="66"/>
    </row>
    <row r="109" spans="1:13" x14ac:dyDescent="0.4">
      <c r="A109" s="61">
        <v>53.5</v>
      </c>
      <c r="B109" s="62">
        <f t="shared" si="7"/>
        <v>53.4</v>
      </c>
      <c r="C109" s="62">
        <f t="shared" si="12"/>
        <v>14652.913925134784</v>
      </c>
      <c r="D109" s="62">
        <f t="shared" si="8"/>
        <v>86672.086074865219</v>
      </c>
      <c r="E109" s="62">
        <f t="shared" si="9"/>
        <v>104.93473162290115</v>
      </c>
      <c r="G109" s="61">
        <v>53.5</v>
      </c>
      <c r="H109" s="62">
        <f t="shared" si="10"/>
        <v>325.29451285278657</v>
      </c>
      <c r="I109" s="63">
        <f t="shared" si="13"/>
        <v>0.10493473162290115</v>
      </c>
      <c r="J109" s="64">
        <f t="shared" si="11"/>
        <v>1.0808560277854002</v>
      </c>
      <c r="K109" s="61">
        <v>53.5</v>
      </c>
      <c r="L109" s="65"/>
      <c r="M109" s="66"/>
    </row>
    <row r="110" spans="1:13" x14ac:dyDescent="0.4">
      <c r="A110" s="61">
        <v>54</v>
      </c>
      <c r="B110" s="62">
        <f t="shared" si="7"/>
        <v>53.9</v>
      </c>
      <c r="C110" s="62">
        <f t="shared" si="12"/>
        <v>15011.659860495558</v>
      </c>
      <c r="D110" s="62">
        <f t="shared" si="8"/>
        <v>86313.340139504435</v>
      </c>
      <c r="E110" s="62">
        <f t="shared" si="9"/>
        <v>107.95065939189654</v>
      </c>
      <c r="G110" s="61">
        <v>54</v>
      </c>
      <c r="H110" s="62">
        <f t="shared" si="10"/>
        <v>333.70244084911201</v>
      </c>
      <c r="I110" s="63">
        <f t="shared" si="13"/>
        <v>0.10795065939189653</v>
      </c>
      <c r="J110" s="64">
        <f t="shared" si="11"/>
        <v>1.0869839391597305</v>
      </c>
      <c r="K110" s="61">
        <v>54</v>
      </c>
      <c r="L110" s="65"/>
      <c r="M110" s="66"/>
    </row>
    <row r="111" spans="1:13" x14ac:dyDescent="0.4">
      <c r="A111" s="61">
        <v>54.5</v>
      </c>
      <c r="B111" s="62">
        <f t="shared" si="7"/>
        <v>54.4</v>
      </c>
      <c r="C111" s="62">
        <f t="shared" si="12"/>
        <v>15377.914174211912</v>
      </c>
      <c r="D111" s="62">
        <f t="shared" si="8"/>
        <v>85947.08582578809</v>
      </c>
      <c r="E111" s="62">
        <f t="shared" si="9"/>
        <v>111.05568216018153</v>
      </c>
      <c r="G111" s="61">
        <v>54.5</v>
      </c>
      <c r="H111" s="62">
        <f t="shared" si="10"/>
        <v>342.34674672650368</v>
      </c>
      <c r="I111" s="63">
        <f t="shared" si="13"/>
        <v>0.11105568216018154</v>
      </c>
      <c r="J111" s="64">
        <f t="shared" si="11"/>
        <v>1.0932578606209231</v>
      </c>
      <c r="K111" s="61">
        <v>54.5</v>
      </c>
      <c r="L111" s="65"/>
      <c r="M111" s="66"/>
    </row>
    <row r="112" spans="1:13" x14ac:dyDescent="0.4">
      <c r="A112" s="61">
        <v>55</v>
      </c>
      <c r="B112" s="62">
        <f t="shared" si="7"/>
        <v>54.9</v>
      </c>
      <c r="C112" s="62">
        <f t="shared" si="12"/>
        <v>15751.805298548024</v>
      </c>
      <c r="D112" s="62">
        <f t="shared" si="8"/>
        <v>85573.194701451983</v>
      </c>
      <c r="E112" s="62">
        <f t="shared" si="9"/>
        <v>114.25286426676882</v>
      </c>
      <c r="G112" s="61">
        <v>55</v>
      </c>
      <c r="H112" s="62">
        <f t="shared" si="10"/>
        <v>351.235619596638</v>
      </c>
      <c r="I112" s="63">
        <f t="shared" si="13"/>
        <v>0.11425286426676882</v>
      </c>
      <c r="J112" s="64">
        <f t="shared" si="11"/>
        <v>1.0996829566582882</v>
      </c>
      <c r="K112" s="61">
        <v>55</v>
      </c>
      <c r="L112" s="65"/>
      <c r="M112" s="66"/>
    </row>
    <row r="113" spans="1:13" x14ac:dyDescent="0.4">
      <c r="A113" s="61">
        <v>55.5</v>
      </c>
      <c r="B113" s="62">
        <f t="shared" si="7"/>
        <v>55.4</v>
      </c>
      <c r="C113" s="62">
        <f t="shared" si="12"/>
        <v>16133.463312696596</v>
      </c>
      <c r="D113" s="62">
        <f t="shared" si="8"/>
        <v>85191.536687303407</v>
      </c>
      <c r="E113" s="62">
        <f t="shared" si="9"/>
        <v>117.54540614815399</v>
      </c>
      <c r="G113" s="61">
        <v>55.5</v>
      </c>
      <c r="H113" s="62">
        <f t="shared" si="10"/>
        <v>360.37761276795732</v>
      </c>
      <c r="I113" s="63">
        <f t="shared" si="13"/>
        <v>0.11754540614815398</v>
      </c>
      <c r="J113" s="64">
        <f t="shared" si="11"/>
        <v>1.1062646223179675</v>
      </c>
      <c r="K113" s="61">
        <v>55.5</v>
      </c>
      <c r="L113" s="65"/>
      <c r="M113" s="66"/>
    </row>
    <row r="114" spans="1:13" x14ac:dyDescent="0.4">
      <c r="A114" s="61">
        <v>56</v>
      </c>
      <c r="B114" s="62">
        <f t="shared" si="7"/>
        <v>55.9</v>
      </c>
      <c r="C114" s="62">
        <f t="shared" si="12"/>
        <v>16523.019955274685</v>
      </c>
      <c r="D114" s="62">
        <f t="shared" si="8"/>
        <v>84801.980044725322</v>
      </c>
      <c r="E114" s="62">
        <f t="shared" si="9"/>
        <v>120.93665210455495</v>
      </c>
      <c r="G114" s="61">
        <v>56</v>
      </c>
      <c r="H114" s="62">
        <f t="shared" si="10"/>
        <v>369.78166451759569</v>
      </c>
      <c r="I114" s="63">
        <f t="shared" si="13"/>
        <v>0.12093665210455495</v>
      </c>
      <c r="J114" s="64">
        <f t="shared" si="11"/>
        <v>1.1130084963339915</v>
      </c>
      <c r="K114" s="61">
        <v>56</v>
      </c>
      <c r="L114" s="65"/>
      <c r="M114" s="66"/>
    </row>
    <row r="115" spans="1:13" x14ac:dyDescent="0.4">
      <c r="A115" s="61">
        <v>56.5</v>
      </c>
      <c r="B115" s="62">
        <f t="shared" si="7"/>
        <v>56.4</v>
      </c>
      <c r="C115" s="62">
        <f t="shared" si="12"/>
        <v>16920.608636808378</v>
      </c>
      <c r="D115" s="62">
        <f t="shared" si="8"/>
        <v>84404.391363191622</v>
      </c>
      <c r="E115" s="62">
        <f t="shared" si="9"/>
        <v>124.43009860584137</v>
      </c>
      <c r="G115" s="61">
        <v>56.5</v>
      </c>
      <c r="H115" s="62">
        <f t="shared" si="10"/>
        <v>379.45712030663992</v>
      </c>
      <c r="I115" s="63">
        <f t="shared" si="13"/>
        <v>0.12443009860584137</v>
      </c>
      <c r="J115" s="64">
        <f t="shared" si="11"/>
        <v>1.1199204751714935</v>
      </c>
      <c r="K115" s="61">
        <v>56.5</v>
      </c>
      <c r="L115" s="65"/>
      <c r="M115" s="66"/>
    </row>
    <row r="116" spans="1:13" x14ac:dyDescent="0.4">
      <c r="A116" s="61">
        <v>57</v>
      </c>
      <c r="B116" s="62">
        <f t="shared" si="7"/>
        <v>56.9</v>
      </c>
      <c r="C116" s="62">
        <f t="shared" si="12"/>
        <v>17326.364452205096</v>
      </c>
      <c r="D116" s="62">
        <f t="shared" si="8"/>
        <v>83998.635547794896</v>
      </c>
      <c r="E116" s="62">
        <f t="shared" si="9"/>
        <v>128.02940318133619</v>
      </c>
      <c r="G116" s="61">
        <v>57</v>
      </c>
      <c r="H116" s="62">
        <f t="shared" si="10"/>
        <v>389.41375655689507</v>
      </c>
      <c r="I116" s="63">
        <f t="shared" si="13"/>
        <v>0.12802940318133618</v>
      </c>
      <c r="J116" s="64">
        <f t="shared" si="11"/>
        <v>1.1270067280567737</v>
      </c>
      <c r="K116" s="61">
        <v>57</v>
      </c>
      <c r="L116" s="65"/>
      <c r="M116" s="66"/>
    </row>
    <row r="117" spans="1:13" x14ac:dyDescent="0.4">
      <c r="A117" s="61">
        <v>57.5</v>
      </c>
      <c r="B117" s="62">
        <f t="shared" si="7"/>
        <v>57.4</v>
      </c>
      <c r="C117" s="62">
        <f t="shared" si="12"/>
        <v>17740.424193212282</v>
      </c>
      <c r="D117" s="62">
        <f t="shared" si="8"/>
        <v>83584.575806787718</v>
      </c>
      <c r="E117" s="62">
        <f t="shared" si="9"/>
        <v>131.73839394185302</v>
      </c>
      <c r="G117" s="61">
        <v>57.5</v>
      </c>
      <c r="H117" s="62">
        <f t="shared" si="10"/>
        <v>399.6618061185028</v>
      </c>
      <c r="I117" s="63">
        <f t="shared" si="13"/>
        <v>0.13173839394185302</v>
      </c>
      <c r="J117" s="64">
        <f t="shared" si="11"/>
        <v>1.1342737130759728</v>
      </c>
      <c r="K117" s="61">
        <v>57.5</v>
      </c>
      <c r="L117" s="65"/>
      <c r="M117" s="66"/>
    </row>
    <row r="118" spans="1:13" x14ac:dyDescent="0.4">
      <c r="A118" s="61">
        <v>58</v>
      </c>
      <c r="B118" s="62">
        <f t="shared" si="7"/>
        <v>57.9</v>
      </c>
      <c r="C118" s="62">
        <f t="shared" si="12"/>
        <v>18162.92636086166</v>
      </c>
      <c r="D118" s="62">
        <f t="shared" si="8"/>
        <v>83162.07363913834</v>
      </c>
      <c r="E118" s="62">
        <f t="shared" si="9"/>
        <v>135.56107978697074</v>
      </c>
      <c r="G118" s="61">
        <v>58</v>
      </c>
      <c r="H118" s="62">
        <f t="shared" si="10"/>
        <v>410.21198557016749</v>
      </c>
      <c r="I118" s="63">
        <f t="shared" si="13"/>
        <v>0.13556107978697074</v>
      </c>
      <c r="J118" s="64">
        <f t="shared" si="11"/>
        <v>1.1417281944319535</v>
      </c>
      <c r="K118" s="61">
        <v>58</v>
      </c>
      <c r="L118" s="65"/>
      <c r="M118" s="66"/>
    </row>
    <row r="119" spans="1:13" x14ac:dyDescent="0.4">
      <c r="A119" s="61">
        <v>58.5</v>
      </c>
      <c r="B119" s="62">
        <f t="shared" si="7"/>
        <v>58.4</v>
      </c>
      <c r="C119" s="62">
        <f t="shared" si="12"/>
        <v>18594.011177897592</v>
      </c>
      <c r="D119" s="62">
        <f t="shared" si="8"/>
        <v>82730.988822102401</v>
      </c>
      <c r="E119" s="62">
        <f t="shared" si="9"/>
        <v>139.50166135567744</v>
      </c>
      <c r="G119" s="61">
        <v>58.5</v>
      </c>
      <c r="H119" s="62">
        <f t="shared" si="10"/>
        <v>421.07552450746721</v>
      </c>
      <c r="I119" s="63">
        <f t="shared" si="13"/>
        <v>0.13950166135567743</v>
      </c>
      <c r="J119" s="64">
        <f t="shared" si="11"/>
        <v>1.1493772609576656</v>
      </c>
      <c r="K119" s="61">
        <v>58.5</v>
      </c>
      <c r="L119" s="65"/>
      <c r="M119" s="66"/>
    </row>
    <row r="120" spans="1:13" x14ac:dyDescent="0.4">
      <c r="A120" s="61">
        <v>59</v>
      </c>
      <c r="B120" s="62">
        <f t="shared" si="7"/>
        <v>58.9</v>
      </c>
      <c r="C120" s="62">
        <f t="shared" si="12"/>
        <v>19033.820601188585</v>
      </c>
      <c r="D120" s="62">
        <f t="shared" si="8"/>
        <v>82291.179398811422</v>
      </c>
      <c r="E120" s="62">
        <f t="shared" si="9"/>
        <v>143.56454278422902</v>
      </c>
      <c r="G120" s="61">
        <v>59</v>
      </c>
      <c r="H120" s="62">
        <f t="shared" si="10"/>
        <v>432.26419699000428</v>
      </c>
      <c r="I120" s="63">
        <f t="shared" si="13"/>
        <v>0.14356454278422903</v>
      </c>
      <c r="J120" s="64">
        <f t="shared" si="11"/>
        <v>1.1572283459939283</v>
      </c>
      <c r="K120" s="61">
        <v>59</v>
      </c>
      <c r="L120" s="65"/>
      <c r="M120" s="66"/>
    </row>
    <row r="121" spans="1:13" x14ac:dyDescent="0.4">
      <c r="A121" s="61">
        <v>59.5</v>
      </c>
      <c r="B121" s="62">
        <f t="shared" si="7"/>
        <v>59.4</v>
      </c>
      <c r="C121" s="62">
        <f t="shared" si="12"/>
        <v>19482.498334120854</v>
      </c>
      <c r="D121" s="62">
        <f t="shared" si="8"/>
        <v>81842.501665879143</v>
      </c>
      <c r="E121" s="62">
        <f t="shared" si="9"/>
        <v>147.7543443414084</v>
      </c>
      <c r="G121" s="61">
        <v>59.5</v>
      </c>
      <c r="H121" s="62">
        <f t="shared" si="10"/>
        <v>443.79035533511262</v>
      </c>
      <c r="I121" s="63">
        <f t="shared" si="13"/>
        <v>0.14775434434140841</v>
      </c>
      <c r="J121" s="64">
        <f t="shared" si="11"/>
        <v>1.1652892487502775</v>
      </c>
      <c r="K121" s="61">
        <v>59.5</v>
      </c>
      <c r="L121" s="65"/>
      <c r="M121" s="66"/>
    </row>
    <row r="122" spans="1:13" x14ac:dyDescent="0.4">
      <c r="A122" s="61">
        <v>60</v>
      </c>
      <c r="B122" s="62">
        <f t="shared" si="7"/>
        <v>59.9</v>
      </c>
      <c r="C122" s="62">
        <f t="shared" si="12"/>
        <v>19940.189838972648</v>
      </c>
      <c r="D122" s="62">
        <f t="shared" si="8"/>
        <v>81384.810161027359</v>
      </c>
      <c r="E122" s="62">
        <f t="shared" si="9"/>
        <v>152.07591601843171</v>
      </c>
      <c r="G122" s="61">
        <v>60</v>
      </c>
      <c r="H122" s="62">
        <f t="shared" si="10"/>
        <v>455.66696646471877</v>
      </c>
      <c r="I122" s="63">
        <f t="shared" si="13"/>
        <v>0.15207591601843171</v>
      </c>
      <c r="J122" s="64">
        <f t="shared" si="11"/>
        <v>1.1735681572794665</v>
      </c>
      <c r="K122" s="61">
        <v>60</v>
      </c>
      <c r="L122" s="65"/>
      <c r="M122" s="66"/>
    </row>
    <row r="123" spans="1:13" x14ac:dyDescent="0.4">
      <c r="A123" s="61">
        <v>60.5</v>
      </c>
      <c r="B123" s="62">
        <f t="shared" si="7"/>
        <v>60.4</v>
      </c>
      <c r="C123" s="62">
        <f t="shared" si="12"/>
        <v>20407.042349268399</v>
      </c>
      <c r="D123" s="62">
        <f t="shared" si="8"/>
        <v>80917.957650731609</v>
      </c>
      <c r="E123" s="62">
        <f t="shared" si="9"/>
        <v>156.53435215862405</v>
      </c>
      <c r="G123" s="61">
        <v>60.5</v>
      </c>
      <c r="H123" s="62">
        <f t="shared" si="10"/>
        <v>467.90765103301987</v>
      </c>
      <c r="I123" s="63">
        <f t="shared" si="13"/>
        <v>0.15653435215862405</v>
      </c>
      <c r="J123" s="64">
        <f t="shared" si="11"/>
        <v>1.1820736732095267</v>
      </c>
      <c r="K123" s="61">
        <v>60.5</v>
      </c>
      <c r="L123" s="65"/>
      <c r="M123" s="66"/>
    </row>
    <row r="124" spans="1:13" x14ac:dyDescent="0.4">
      <c r="A124" s="61">
        <v>61</v>
      </c>
      <c r="B124" s="62">
        <f t="shared" si="7"/>
        <v>60.9</v>
      </c>
      <c r="C124" s="62">
        <f t="shared" si="12"/>
        <v>20883.204882111491</v>
      </c>
      <c r="D124" s="62">
        <f t="shared" si="8"/>
        <v>80441.795117888512</v>
      </c>
      <c r="E124" s="62">
        <f t="shared" si="9"/>
        <v>161.13500722076981</v>
      </c>
      <c r="G124" s="61">
        <v>61</v>
      </c>
      <c r="H124" s="62">
        <f t="shared" si="10"/>
        <v>480.52672558613239</v>
      </c>
      <c r="I124" s="63">
        <f t="shared" si="13"/>
        <v>0.16113500722076982</v>
      </c>
      <c r="J124" s="64">
        <f t="shared" si="11"/>
        <v>1.1908148383921295</v>
      </c>
      <c r="K124" s="61">
        <v>61</v>
      </c>
      <c r="L124" s="65"/>
      <c r="M124" s="66"/>
    </row>
    <row r="125" spans="1:13" x14ac:dyDescent="0.4">
      <c r="A125" s="61">
        <v>61.5</v>
      </c>
      <c r="B125" s="62">
        <f t="shared" si="7"/>
        <v>61.4</v>
      </c>
      <c r="C125" s="62">
        <f t="shared" si="12"/>
        <v>21368.828250494556</v>
      </c>
      <c r="D125" s="62">
        <f t="shared" si="8"/>
        <v>79956.171749505447</v>
      </c>
      <c r="E125" s="62">
        <f t="shared" si="9"/>
        <v>165.88351277986294</v>
      </c>
      <c r="G125" s="61">
        <v>61.5</v>
      </c>
      <c r="H125" s="62">
        <f t="shared" si="10"/>
        <v>493.53924803112687</v>
      </c>
      <c r="I125" s="63">
        <f t="shared" si="13"/>
        <v>0.16588351277986293</v>
      </c>
      <c r="J125" s="64">
        <f t="shared" si="11"/>
        <v>1.1998011636426054</v>
      </c>
      <c r="K125" s="61">
        <v>61.5</v>
      </c>
      <c r="L125" s="65"/>
      <c r="M125" s="66"/>
    </row>
    <row r="126" spans="1:13" x14ac:dyDescent="0.4">
      <c r="A126" s="61">
        <v>62</v>
      </c>
      <c r="B126" s="62">
        <f t="shared" si="7"/>
        <v>61.9</v>
      </c>
      <c r="C126" s="62">
        <f t="shared" si="12"/>
        <v>21864.065075586092</v>
      </c>
      <c r="D126" s="62">
        <f t="shared" si="8"/>
        <v>79460.934924413916</v>
      </c>
      <c r="E126" s="62">
        <f t="shared" si="9"/>
        <v>170.78579587997268</v>
      </c>
      <c r="G126" s="61">
        <v>62</v>
      </c>
      <c r="H126" s="62">
        <f t="shared" si="10"/>
        <v>506.96106672126166</v>
      </c>
      <c r="I126" s="63">
        <f t="shared" si="13"/>
        <v>0.17078579587997267</v>
      </c>
      <c r="J126" s="64">
        <f t="shared" si="11"/>
        <v>1.2090426597655501</v>
      </c>
      <c r="K126" s="61">
        <v>62</v>
      </c>
      <c r="L126" s="65"/>
      <c r="M126" s="66"/>
    </row>
    <row r="127" spans="1:13" x14ac:dyDescent="0.4">
      <c r="A127" s="61">
        <v>62.5</v>
      </c>
      <c r="B127" s="62">
        <f t="shared" si="7"/>
        <v>62.4</v>
      </c>
      <c r="C127" s="62">
        <f t="shared" si="12"/>
        <v>22369.069798992532</v>
      </c>
      <c r="D127" s="62">
        <f t="shared" si="8"/>
        <v>78955.930201007461</v>
      </c>
      <c r="E127" s="62">
        <f t="shared" si="9"/>
        <v>175.84809886626059</v>
      </c>
      <c r="G127" s="61">
        <v>62.5</v>
      </c>
      <c r="H127" s="62">
        <f t="shared" si="10"/>
        <v>520.80887349717568</v>
      </c>
      <c r="I127" s="63">
        <f t="shared" si="13"/>
        <v>0.1758480988662606</v>
      </c>
      <c r="J127" s="64">
        <f t="shared" si="11"/>
        <v>1.2185498710807721</v>
      </c>
      <c r="K127" s="61">
        <v>62.5</v>
      </c>
      <c r="L127" s="65"/>
      <c r="M127" s="66"/>
    </row>
    <row r="128" spans="1:13" x14ac:dyDescent="0.4">
      <c r="A128" s="61">
        <v>63</v>
      </c>
      <c r="B128" s="62">
        <f t="shared" si="7"/>
        <v>62.9</v>
      </c>
      <c r="C128" s="62">
        <f t="shared" si="12"/>
        <v>22883.99869499437</v>
      </c>
      <c r="D128" s="62">
        <f t="shared" si="8"/>
        <v>78441.00130500563</v>
      </c>
      <c r="E128" s="62">
        <f t="shared" si="9"/>
        <v>181.07700083700513</v>
      </c>
      <c r="G128" s="61">
        <v>63</v>
      </c>
      <c r="H128" s="62">
        <f t="shared" si="10"/>
        <v>535.10026106076657</v>
      </c>
      <c r="I128" s="63">
        <f t="shared" si="13"/>
        <v>0.18107700083700512</v>
      </c>
      <c r="J128" s="64">
        <f t="shared" si="11"/>
        <v>1.2283339116877032</v>
      </c>
      <c r="K128" s="61">
        <v>63</v>
      </c>
      <c r="L128" s="65"/>
      <c r="M128" s="66"/>
    </row>
    <row r="129" spans="1:13" x14ac:dyDescent="0.4">
      <c r="A129" s="61">
        <v>63.5</v>
      </c>
      <c r="B129" s="62">
        <f t="shared" si="7"/>
        <v>63.4</v>
      </c>
      <c r="C129" s="62">
        <f t="shared" si="12"/>
        <v>23409.009882755399</v>
      </c>
      <c r="D129" s="62">
        <f t="shared" si="8"/>
        <v>77915.990117244597</v>
      </c>
      <c r="E129" s="62">
        <f t="shared" si="9"/>
        <v>186.47944087203882</v>
      </c>
      <c r="G129" s="61">
        <v>63.5</v>
      </c>
      <c r="H129" s="62">
        <f t="shared" si="10"/>
        <v>549.85378510006456</v>
      </c>
      <c r="I129" s="63">
        <f t="shared" si="13"/>
        <v>0.18647944087203883</v>
      </c>
      <c r="J129" s="64">
        <f t="shared" si="11"/>
        <v>1.2384065047326847</v>
      </c>
      <c r="K129" s="61">
        <v>63.5</v>
      </c>
      <c r="L129" s="65"/>
      <c r="M129" s="66"/>
    </row>
    <row r="130" spans="1:13" x14ac:dyDescent="0.4">
      <c r="A130" s="61">
        <v>64</v>
      </c>
      <c r="B130" s="62">
        <f t="shared" ref="B130:B193" si="14">A130-0.1</f>
        <v>63.9</v>
      </c>
      <c r="C130" s="62">
        <f t="shared" si="12"/>
        <v>23944.263338504061</v>
      </c>
      <c r="D130" s="62">
        <f t="shared" ref="D130:D193" si="15">$N$2-C130</f>
        <v>77380.736661495932</v>
      </c>
      <c r="E130" s="62">
        <f t="shared" ref="E130:E193" si="16">I130*1000</f>
        <v>192.06274321149945</v>
      </c>
      <c r="G130" s="61">
        <v>64</v>
      </c>
      <c r="H130" s="62">
        <f t="shared" ref="H130:H193" si="17">(((1.005+(1.88*(E130/1000)))*A130)+(2487*(E130/1000)))</f>
        <v>565.08903163020682</v>
      </c>
      <c r="I130" s="63">
        <f t="shared" si="13"/>
        <v>0.19206274321149946</v>
      </c>
      <c r="J130" s="64">
        <f t="shared" ref="J130:J193" si="18">((22.41/273)*(A130+273))*((1/28.96)+((1/18.1)*I130))</f>
        <v>1.2487800249731025</v>
      </c>
      <c r="K130" s="61">
        <v>64</v>
      </c>
      <c r="L130" s="65"/>
      <c r="M130" s="66"/>
    </row>
    <row r="131" spans="1:13" x14ac:dyDescent="0.4">
      <c r="A131" s="61">
        <v>64.5</v>
      </c>
      <c r="B131" s="62">
        <f t="shared" si="14"/>
        <v>64.400000000000006</v>
      </c>
      <c r="C131" s="62">
        <f t="shared" si="12"/>
        <v>24489.920907685515</v>
      </c>
      <c r="D131" s="62">
        <f t="shared" si="15"/>
        <v>76835.079092314481</v>
      </c>
      <c r="E131" s="62">
        <f t="shared" si="16"/>
        <v>197.83464457852654</v>
      </c>
      <c r="G131" s="61">
        <v>64.5</v>
      </c>
      <c r="H131" s="62">
        <f t="shared" si="17"/>
        <v>580.82669006838762</v>
      </c>
      <c r="I131" s="63">
        <f t="shared" si="13"/>
        <v>0.19783464457852654</v>
      </c>
      <c r="J131" s="64">
        <f t="shared" si="18"/>
        <v>1.2594675449657202</v>
      </c>
      <c r="K131" s="61">
        <v>64.5</v>
      </c>
      <c r="L131" s="65"/>
      <c r="M131" s="66"/>
    </row>
    <row r="132" spans="1:13" x14ac:dyDescent="0.4">
      <c r="A132" s="61">
        <v>65</v>
      </c>
      <c r="B132" s="62">
        <f t="shared" si="14"/>
        <v>64.900000000000006</v>
      </c>
      <c r="C132" s="62">
        <f t="shared" ref="C132:C195" si="19">611.14*EXP(17.269*(((273.16+A132)-273.16)/((273.16+A132)-35.86)))</f>
        <v>25046.146317083694</v>
      </c>
      <c r="D132" s="62">
        <f t="shared" si="15"/>
        <v>76278.853682916306</v>
      </c>
      <c r="E132" s="62">
        <f t="shared" si="16"/>
        <v>203.80332386182954</v>
      </c>
      <c r="G132" s="61">
        <v>65</v>
      </c>
      <c r="H132" s="62">
        <f t="shared" si="17"/>
        <v>597.08863262028558</v>
      </c>
      <c r="I132" s="63">
        <f t="shared" ref="I132:I195" si="20">(18/29)*(C132/($N$2-C132))</f>
        <v>0.20380332386182953</v>
      </c>
      <c r="J132" s="64">
        <f t="shared" si="18"/>
        <v>1.2704828852442349</v>
      </c>
      <c r="K132" s="61">
        <v>65</v>
      </c>
      <c r="L132" s="65"/>
      <c r="M132" s="66"/>
    </row>
    <row r="133" spans="1:13" x14ac:dyDescent="0.4">
      <c r="A133" s="61">
        <v>65.5</v>
      </c>
      <c r="B133" s="62">
        <f t="shared" si="14"/>
        <v>65.400000000000006</v>
      </c>
      <c r="C133" s="62">
        <f t="shared" si="19"/>
        <v>25613.105186911922</v>
      </c>
      <c r="D133" s="62">
        <f t="shared" si="15"/>
        <v>75711.894813088074</v>
      </c>
      <c r="E133" s="62">
        <f t="shared" si="16"/>
        <v>209.97743439926327</v>
      </c>
      <c r="G133" s="61">
        <v>65.5</v>
      </c>
      <c r="H133" s="62">
        <f t="shared" si="17"/>
        <v>613.89800062289305</v>
      </c>
      <c r="I133" s="63">
        <f t="shared" si="20"/>
        <v>0.20997743439926328</v>
      </c>
      <c r="J133" s="64">
        <f t="shared" si="18"/>
        <v>1.2818406688936952</v>
      </c>
      <c r="K133" s="61">
        <v>65.5</v>
      </c>
      <c r="L133" s="65"/>
      <c r="M133" s="66"/>
    </row>
    <row r="134" spans="1:13" x14ac:dyDescent="0.4">
      <c r="A134" s="61">
        <v>66</v>
      </c>
      <c r="B134" s="62">
        <f t="shared" si="14"/>
        <v>65.900000000000006</v>
      </c>
      <c r="C134" s="62">
        <f t="shared" si="19"/>
        <v>26190.965042871303</v>
      </c>
      <c r="D134" s="62">
        <f t="shared" si="15"/>
        <v>75134.034957128693</v>
      </c>
      <c r="E134" s="62">
        <f t="shared" si="16"/>
        <v>216.36613913213142</v>
      </c>
      <c r="G134" s="61">
        <v>66</v>
      </c>
      <c r="H134" s="62">
        <f t="shared" si="17"/>
        <v>631.27929856512571</v>
      </c>
      <c r="I134" s="63">
        <f t="shared" si="20"/>
        <v>0.21636613913213143</v>
      </c>
      <c r="J134" s="64">
        <f t="shared" si="18"/>
        <v>1.2935563809777613</v>
      </c>
      <c r="K134" s="61">
        <v>66</v>
      </c>
      <c r="L134" s="65"/>
      <c r="M134" s="66"/>
    </row>
    <row r="135" spans="1:13" x14ac:dyDescent="0.4">
      <c r="A135" s="61">
        <v>66.5</v>
      </c>
      <c r="B135" s="62">
        <f t="shared" si="14"/>
        <v>66.400000000000006</v>
      </c>
      <c r="C135" s="62">
        <f t="shared" si="19"/>
        <v>26779.895328175659</v>
      </c>
      <c r="D135" s="62">
        <f t="shared" si="15"/>
        <v>74545.104671824345</v>
      </c>
      <c r="E135" s="62">
        <f t="shared" si="16"/>
        <v>222.97914893238143</v>
      </c>
      <c r="G135" s="61">
        <v>66.5</v>
      </c>
      <c r="H135" s="62">
        <f t="shared" si="17"/>
        <v>649.25849659435892</v>
      </c>
      <c r="I135" s="63">
        <f t="shared" si="20"/>
        <v>0.22297914893238144</v>
      </c>
      <c r="J135" s="64">
        <f t="shared" si="18"/>
        <v>1.3056464333296096</v>
      </c>
      <c r="K135" s="61">
        <v>66.5</v>
      </c>
      <c r="L135" s="65"/>
      <c r="M135" s="66"/>
    </row>
    <row r="136" spans="1:13" x14ac:dyDescent="0.4">
      <c r="A136" s="61">
        <v>67</v>
      </c>
      <c r="B136" s="62">
        <f t="shared" si="14"/>
        <v>66.900000000000006</v>
      </c>
      <c r="C136" s="62">
        <f t="shared" si="19"/>
        <v>27380.067415541838</v>
      </c>
      <c r="D136" s="62">
        <f t="shared" si="15"/>
        <v>73944.932584458162</v>
      </c>
      <c r="E136" s="62">
        <f t="shared" si="16"/>
        <v>229.82676444176022</v>
      </c>
      <c r="G136" s="61">
        <v>67</v>
      </c>
      <c r="H136" s="62">
        <f t="shared" si="17"/>
        <v>667.86314241574189</v>
      </c>
      <c r="I136" s="63">
        <f t="shared" si="20"/>
        <v>0.22982676444176023</v>
      </c>
      <c r="J136" s="64">
        <f t="shared" si="18"/>
        <v>1.3181282352796932</v>
      </c>
      <c r="K136" s="61">
        <v>67</v>
      </c>
      <c r="L136" s="65"/>
      <c r="M136" s="66"/>
    </row>
    <row r="137" spans="1:13" x14ac:dyDescent="0.4">
      <c r="A137" s="61">
        <v>67.5</v>
      </c>
      <c r="B137" s="62">
        <f t="shared" si="14"/>
        <v>67.400000000000006</v>
      </c>
      <c r="C137" s="62">
        <f t="shared" si="19"/>
        <v>27991.65461914468</v>
      </c>
      <c r="D137" s="62">
        <f t="shared" si="15"/>
        <v>73333.345380855317</v>
      </c>
      <c r="E137" s="62">
        <f t="shared" si="16"/>
        <v>236.91992180405794</v>
      </c>
      <c r="G137" s="61">
        <v>67.5</v>
      </c>
      <c r="H137" s="62">
        <f t="shared" si="17"/>
        <v>687.12248360362707</v>
      </c>
      <c r="I137" s="63">
        <f t="shared" si="20"/>
        <v>0.23691992180405794</v>
      </c>
      <c r="J137" s="64">
        <f t="shared" si="18"/>
        <v>1.3310202709646559</v>
      </c>
      <c r="K137" s="61">
        <v>67.5</v>
      </c>
      <c r="L137" s="65"/>
      <c r="M137" s="66"/>
    </row>
    <row r="138" spans="1:13" x14ac:dyDescent="0.4">
      <c r="A138" s="61">
        <v>68</v>
      </c>
      <c r="B138" s="62">
        <f t="shared" si="14"/>
        <v>67.900000000000006</v>
      </c>
      <c r="C138" s="62">
        <f t="shared" si="19"/>
        <v>28614.832206535131</v>
      </c>
      <c r="D138" s="62">
        <f t="shared" si="15"/>
        <v>72710.167793464876</v>
      </c>
      <c r="E138" s="62">
        <f t="shared" si="16"/>
        <v>244.27024271957612</v>
      </c>
      <c r="G138" s="61">
        <v>68</v>
      </c>
      <c r="H138" s="62">
        <f t="shared" si="17"/>
        <v>707.0676014728565</v>
      </c>
      <c r="I138" s="63">
        <f t="shared" si="20"/>
        <v>0.24427024271957612</v>
      </c>
      <c r="J138" s="64">
        <f t="shared" si="18"/>
        <v>1.3443421839428662</v>
      </c>
      <c r="K138" s="61">
        <v>68</v>
      </c>
      <c r="L138" s="65"/>
      <c r="M138" s="66"/>
    </row>
    <row r="139" spans="1:13" x14ac:dyDescent="0.4">
      <c r="A139" s="61">
        <v>68.5</v>
      </c>
      <c r="B139" s="62">
        <f t="shared" si="14"/>
        <v>68.400000000000006</v>
      </c>
      <c r="C139" s="62">
        <f t="shared" si="19"/>
        <v>29249.777410520757</v>
      </c>
      <c r="D139" s="62">
        <f t="shared" si="15"/>
        <v>72075.222589479235</v>
      </c>
      <c r="E139" s="62">
        <f t="shared" si="16"/>
        <v>251.89008930589225</v>
      </c>
      <c r="G139" s="61">
        <v>68.5</v>
      </c>
      <c r="H139" s="62">
        <f t="shared" si="17"/>
        <v>727.73155780456682</v>
      </c>
      <c r="I139" s="63">
        <f t="shared" si="20"/>
        <v>0.25189008930589224</v>
      </c>
      <c r="J139" s="64">
        <f t="shared" si="18"/>
        <v>1.3581148699349026</v>
      </c>
      <c r="K139" s="61">
        <v>68.5</v>
      </c>
      <c r="L139" s="65"/>
      <c r="M139" s="66"/>
    </row>
    <row r="140" spans="1:13" x14ac:dyDescent="0.4">
      <c r="A140" s="61">
        <v>69</v>
      </c>
      <c r="B140" s="62">
        <f t="shared" si="14"/>
        <v>68.900000000000006</v>
      </c>
      <c r="C140" s="62">
        <f t="shared" si="19"/>
        <v>29896.669441007569</v>
      </c>
      <c r="D140" s="62">
        <f t="shared" si="15"/>
        <v>71428.330558992428</v>
      </c>
      <c r="E140" s="62">
        <f t="shared" si="16"/>
        <v>259.79262431195747</v>
      </c>
      <c r="G140" s="61">
        <v>69</v>
      </c>
      <c r="H140" s="62">
        <f t="shared" si="17"/>
        <v>749.14955588958549</v>
      </c>
      <c r="I140" s="63">
        <f t="shared" si="20"/>
        <v>0.25979262431195749</v>
      </c>
      <c r="J140" s="64">
        <f t="shared" si="18"/>
        <v>1.3723605786137638</v>
      </c>
      <c r="K140" s="61">
        <v>69</v>
      </c>
      <c r="L140" s="65"/>
      <c r="M140" s="66"/>
    </row>
    <row r="141" spans="1:13" x14ac:dyDescent="0.4">
      <c r="A141" s="61">
        <v>69.5</v>
      </c>
      <c r="B141" s="62">
        <f t="shared" si="14"/>
        <v>69.400000000000006</v>
      </c>
      <c r="C141" s="62">
        <f t="shared" si="19"/>
        <v>30555.689496801966</v>
      </c>
      <c r="D141" s="62">
        <f t="shared" si="15"/>
        <v>70769.310503198038</v>
      </c>
      <c r="E141" s="62">
        <f t="shared" si="16"/>
        <v>267.99187730489916</v>
      </c>
      <c r="G141" s="61">
        <v>69.5</v>
      </c>
      <c r="H141" s="62">
        <f t="shared" si="17"/>
        <v>771.35911754594235</v>
      </c>
      <c r="I141" s="63">
        <f t="shared" si="20"/>
        <v>0.26799187730489915</v>
      </c>
      <c r="J141" s="64">
        <f t="shared" si="18"/>
        <v>1.3871030254918659</v>
      </c>
      <c r="K141" s="61">
        <v>69.5</v>
      </c>
      <c r="L141" s="65"/>
      <c r="M141" s="66"/>
    </row>
    <row r="142" spans="1:13" x14ac:dyDescent="0.4">
      <c r="A142" s="61">
        <v>70</v>
      </c>
      <c r="B142" s="62">
        <f t="shared" si="14"/>
        <v>69.900000000000006</v>
      </c>
      <c r="C142" s="62">
        <f t="shared" si="19"/>
        <v>31227.020777371839</v>
      </c>
      <c r="D142" s="62">
        <f t="shared" si="15"/>
        <v>70097.979222628157</v>
      </c>
      <c r="E142" s="62">
        <f t="shared" si="16"/>
        <v>276.50281753217757</v>
      </c>
      <c r="G142" s="61">
        <v>70</v>
      </c>
      <c r="H142" s="62">
        <f t="shared" si="17"/>
        <v>794.4002779897603</v>
      </c>
      <c r="I142" s="63">
        <f t="shared" si="20"/>
        <v>0.27650281753217759</v>
      </c>
      <c r="J142" s="64">
        <f t="shared" si="18"/>
        <v>1.4023675150926604</v>
      </c>
      <c r="K142" s="61">
        <v>70</v>
      </c>
      <c r="L142" s="65"/>
      <c r="M142" s="66"/>
    </row>
    <row r="143" spans="1:13" x14ac:dyDescent="0.4">
      <c r="A143" s="61">
        <v>70.5</v>
      </c>
      <c r="B143" s="62">
        <f t="shared" si="14"/>
        <v>70.400000000000006</v>
      </c>
      <c r="C143" s="62">
        <f t="shared" si="19"/>
        <v>31910.848494565973</v>
      </c>
      <c r="D143" s="62">
        <f t="shared" si="15"/>
        <v>69414.151505434027</v>
      </c>
      <c r="E143" s="62">
        <f t="shared" si="16"/>
        <v>285.34143425783634</v>
      </c>
      <c r="G143" s="61">
        <v>70.5</v>
      </c>
      <c r="H143" s="62">
        <f t="shared" si="17"/>
        <v>818.31580069577262</v>
      </c>
      <c r="I143" s="63">
        <f t="shared" si="20"/>
        <v>0.28534143425783631</v>
      </c>
      <c r="J143" s="64">
        <f t="shared" si="18"/>
        <v>1.4181810767571634</v>
      </c>
      <c r="K143" s="61">
        <v>70.5</v>
      </c>
      <c r="L143" s="65"/>
      <c r="M143" s="66"/>
    </row>
    <row r="144" spans="1:13" x14ac:dyDescent="0.4">
      <c r="A144" s="61">
        <v>71</v>
      </c>
      <c r="B144" s="62">
        <f t="shared" si="14"/>
        <v>70.900000000000006</v>
      </c>
      <c r="C144" s="62">
        <f t="shared" si="19"/>
        <v>32607.359884290327</v>
      </c>
      <c r="D144" s="62">
        <f t="shared" si="15"/>
        <v>68717.64011570967</v>
      </c>
      <c r="E144" s="62">
        <f t="shared" si="16"/>
        <v>294.52482548270854</v>
      </c>
      <c r="G144" s="61">
        <v>71</v>
      </c>
      <c r="H144" s="62">
        <f t="shared" si="17"/>
        <v>843.15141468092793</v>
      </c>
      <c r="I144" s="63">
        <f t="shared" si="20"/>
        <v>0.29452482548270853</v>
      </c>
      <c r="J144" s="64">
        <f t="shared" si="18"/>
        <v>1.434572614623524</v>
      </c>
      <c r="K144" s="61">
        <v>71</v>
      </c>
      <c r="L144" s="65"/>
      <c r="M144" s="66"/>
    </row>
    <row r="145" spans="1:13" x14ac:dyDescent="0.4">
      <c r="A145" s="61">
        <v>71.5</v>
      </c>
      <c r="B145" s="62">
        <f t="shared" si="14"/>
        <v>71.400000000000006</v>
      </c>
      <c r="C145" s="62">
        <f t="shared" si="19"/>
        <v>33316.744218140528</v>
      </c>
      <c r="D145" s="62">
        <f t="shared" si="15"/>
        <v>68008.25578185948</v>
      </c>
      <c r="E145" s="62">
        <f t="shared" si="16"/>
        <v>304.07129608727837</v>
      </c>
      <c r="G145" s="61">
        <v>71.5</v>
      </c>
      <c r="H145" s="62">
        <f t="shared" si="17"/>
        <v>868.95607698911317</v>
      </c>
      <c r="I145" s="63">
        <f t="shared" si="20"/>
        <v>0.3040712960872784</v>
      </c>
      <c r="J145" s="64">
        <f t="shared" si="18"/>
        <v>1.4515730735355739</v>
      </c>
      <c r="K145" s="61">
        <v>71.5</v>
      </c>
      <c r="L145" s="65"/>
      <c r="M145" s="66"/>
    </row>
    <row r="146" spans="1:13" x14ac:dyDescent="0.4">
      <c r="A146" s="61">
        <v>72</v>
      </c>
      <c r="B146" s="62">
        <f t="shared" si="14"/>
        <v>71.900000000000006</v>
      </c>
      <c r="C146" s="62">
        <f t="shared" si="19"/>
        <v>34039.192814989488</v>
      </c>
      <c r="D146" s="62">
        <f t="shared" si="15"/>
        <v>67285.807185010519</v>
      </c>
      <c r="E146" s="62">
        <f t="shared" si="16"/>
        <v>314.00046658561655</v>
      </c>
      <c r="G146" s="61">
        <v>72</v>
      </c>
      <c r="H146" s="62">
        <f t="shared" si="17"/>
        <v>895.78226355545735</v>
      </c>
      <c r="I146" s="63">
        <f t="shared" si="20"/>
        <v>0.31400046658561653</v>
      </c>
      <c r="J146" s="64">
        <f t="shared" si="18"/>
        <v>1.4692156228893947</v>
      </c>
      <c r="K146" s="61">
        <v>72</v>
      </c>
      <c r="L146" s="65"/>
      <c r="M146" s="66"/>
    </row>
    <row r="147" spans="1:13" x14ac:dyDescent="0.4">
      <c r="A147" s="61">
        <v>72.5</v>
      </c>
      <c r="B147" s="62">
        <f t="shared" si="14"/>
        <v>72.400000000000006</v>
      </c>
      <c r="C147" s="62">
        <f t="shared" si="19"/>
        <v>34774.899052528795</v>
      </c>
      <c r="D147" s="62">
        <f t="shared" si="15"/>
        <v>66550.100947471205</v>
      </c>
      <c r="E147" s="62">
        <f t="shared" si="16"/>
        <v>324.33339385324803</v>
      </c>
      <c r="G147" s="61">
        <v>72.5</v>
      </c>
      <c r="H147" s="62">
        <f t="shared" si="17"/>
        <v>923.68629209522567</v>
      </c>
      <c r="I147" s="63">
        <f t="shared" si="20"/>
        <v>0.32433339385324805</v>
      </c>
      <c r="J147" s="64">
        <f t="shared" si="18"/>
        <v>1.4875358607218385</v>
      </c>
      <c r="K147" s="61">
        <v>72.5</v>
      </c>
      <c r="L147" s="65"/>
      <c r="M147" s="66"/>
    </row>
    <row r="148" spans="1:13" x14ac:dyDescent="0.4">
      <c r="A148" s="61">
        <v>73</v>
      </c>
      <c r="B148" s="62">
        <f t="shared" si="14"/>
        <v>72.900000000000006</v>
      </c>
      <c r="C148" s="62">
        <f t="shared" si="19"/>
        <v>35524.058378763562</v>
      </c>
      <c r="D148" s="62">
        <f t="shared" si="15"/>
        <v>65800.941621236445</v>
      </c>
      <c r="E148" s="62">
        <f t="shared" si="16"/>
        <v>335.09270539562124</v>
      </c>
      <c r="G148" s="61">
        <v>73</v>
      </c>
      <c r="H148" s="62">
        <f t="shared" si="17"/>
        <v>952.72868120740509</v>
      </c>
      <c r="I148" s="63">
        <f t="shared" si="20"/>
        <v>0.33509270539562125</v>
      </c>
      <c r="J148" s="64">
        <f t="shared" si="18"/>
        <v>1.5065720406894729</v>
      </c>
      <c r="K148" s="61">
        <v>73</v>
      </c>
      <c r="L148" s="65"/>
      <c r="M148" s="66"/>
    </row>
    <row r="149" spans="1:13" x14ac:dyDescent="0.4">
      <c r="A149" s="61">
        <v>73.5</v>
      </c>
      <c r="B149" s="62">
        <f t="shared" si="14"/>
        <v>73.400000000000006</v>
      </c>
      <c r="C149" s="62">
        <f t="shared" si="19"/>
        <v>36286.868323458897</v>
      </c>
      <c r="D149" s="62">
        <f t="shared" si="15"/>
        <v>65038.131676541103</v>
      </c>
      <c r="E149" s="62">
        <f t="shared" si="16"/>
        <v>346.30274896255003</v>
      </c>
      <c r="G149" s="61">
        <v>73.5</v>
      </c>
      <c r="H149" s="62">
        <f t="shared" si="17"/>
        <v>982.97455052150701</v>
      </c>
      <c r="I149" s="63">
        <f t="shared" si="20"/>
        <v>0.34630274896255003</v>
      </c>
      <c r="J149" s="64">
        <f t="shared" si="18"/>
        <v>1.5263653249899589</v>
      </c>
      <c r="K149" s="61">
        <v>73.5</v>
      </c>
      <c r="L149" s="65"/>
      <c r="M149" s="66"/>
    </row>
    <row r="150" spans="1:13" x14ac:dyDescent="0.4">
      <c r="A150" s="61">
        <v>74</v>
      </c>
      <c r="B150" s="62">
        <f t="shared" si="14"/>
        <v>73.900000000000006</v>
      </c>
      <c r="C150" s="62">
        <f t="shared" si="19"/>
        <v>37063.52850953782</v>
      </c>
      <c r="D150" s="62">
        <f t="shared" si="15"/>
        <v>64261.47149046218</v>
      </c>
      <c r="E150" s="62">
        <f t="shared" si="16"/>
        <v>357.98975959447796</v>
      </c>
      <c r="G150" s="61">
        <v>74</v>
      </c>
      <c r="H150" s="62">
        <f t="shared" si="17"/>
        <v>1014.4940674662505</v>
      </c>
      <c r="I150" s="63">
        <f t="shared" si="20"/>
        <v>0.35798975959447799</v>
      </c>
      <c r="J150" s="64">
        <f t="shared" si="18"/>
        <v>1.5469600667520189</v>
      </c>
      <c r="K150" s="61">
        <v>74</v>
      </c>
      <c r="L150" s="65"/>
      <c r="M150" s="66"/>
    </row>
    <row r="151" spans="1:13" x14ac:dyDescent="0.4">
      <c r="A151" s="61">
        <v>74.5</v>
      </c>
      <c r="B151" s="62">
        <f t="shared" si="14"/>
        <v>74.400000000000006</v>
      </c>
      <c r="C151" s="62">
        <f t="shared" si="19"/>
        <v>37854.240664428813</v>
      </c>
      <c r="D151" s="62">
        <f t="shared" si="15"/>
        <v>63470.759335571187</v>
      </c>
      <c r="E151" s="62">
        <f t="shared" si="16"/>
        <v>370.18204651681339</v>
      </c>
      <c r="G151" s="61">
        <v>74.5</v>
      </c>
      <c r="H151" s="62">
        <f t="shared" si="17"/>
        <v>1047.3629471224597</v>
      </c>
      <c r="I151" s="63">
        <f t="shared" si="20"/>
        <v>0.37018204651681341</v>
      </c>
      <c r="J151" s="64">
        <f t="shared" si="18"/>
        <v>1.5684041259786943</v>
      </c>
      <c r="K151" s="61">
        <v>74.5</v>
      </c>
      <c r="L151" s="65"/>
      <c r="M151" s="66"/>
    </row>
    <row r="152" spans="1:13" x14ac:dyDescent="0.4">
      <c r="A152" s="61">
        <v>75</v>
      </c>
      <c r="B152" s="62">
        <f t="shared" si="14"/>
        <v>74.900000000000006</v>
      </c>
      <c r="C152" s="62">
        <f t="shared" si="19"/>
        <v>38659.208631362992</v>
      </c>
      <c r="D152" s="62">
        <f t="shared" si="15"/>
        <v>62665.791368637008</v>
      </c>
      <c r="E152" s="62">
        <f t="shared" si="16"/>
        <v>382.91020268912314</v>
      </c>
      <c r="G152" s="61">
        <v>75</v>
      </c>
      <c r="H152" s="62">
        <f t="shared" si="17"/>
        <v>1081.6630126670157</v>
      </c>
      <c r="I152" s="63">
        <f t="shared" si="20"/>
        <v>0.38291020268912312</v>
      </c>
      <c r="J152" s="64">
        <f t="shared" si="18"/>
        <v>1.590749223788803</v>
      </c>
      <c r="K152" s="61">
        <v>75</v>
      </c>
      <c r="L152" s="65"/>
      <c r="M152" s="66"/>
    </row>
    <row r="153" spans="1:13" x14ac:dyDescent="0.4">
      <c r="A153" s="61">
        <v>75.5</v>
      </c>
      <c r="B153" s="62">
        <f t="shared" si="14"/>
        <v>75.400000000000006</v>
      </c>
      <c r="C153" s="62">
        <f t="shared" si="19"/>
        <v>39478.638380618773</v>
      </c>
      <c r="D153" s="62">
        <f t="shared" si="15"/>
        <v>61846.361619381227</v>
      </c>
      <c r="E153" s="62">
        <f t="shared" si="16"/>
        <v>396.20734027890978</v>
      </c>
      <c r="G153" s="61">
        <v>75.5</v>
      </c>
      <c r="H153" s="62">
        <f t="shared" si="17"/>
        <v>1117.482825152837</v>
      </c>
      <c r="I153" s="63">
        <f t="shared" si="20"/>
        <v>0.3962073402789098</v>
      </c>
      <c r="J153" s="64">
        <f t="shared" si="18"/>
        <v>1.6140513404841146</v>
      </c>
      <c r="K153" s="61">
        <v>75.5</v>
      </c>
      <c r="L153" s="65"/>
      <c r="M153" s="66"/>
    </row>
    <row r="154" spans="1:13" x14ac:dyDescent="0.4">
      <c r="A154" s="61">
        <v>76</v>
      </c>
      <c r="B154" s="62">
        <f t="shared" si="14"/>
        <v>75.900000000000006</v>
      </c>
      <c r="C154" s="62">
        <f t="shared" si="19"/>
        <v>40312.7380207143</v>
      </c>
      <c r="D154" s="62">
        <f t="shared" si="15"/>
        <v>61012.2619792857</v>
      </c>
      <c r="E154" s="62">
        <f t="shared" si="16"/>
        <v>410.10935588043174</v>
      </c>
      <c r="G154" s="61">
        <v>76</v>
      </c>
      <c r="H154" s="62">
        <f t="shared" si="17"/>
        <v>1154.9183928428297</v>
      </c>
      <c r="I154" s="63">
        <f t="shared" si="20"/>
        <v>0.41010935588043174</v>
      </c>
      <c r="J154" s="64">
        <f t="shared" si="18"/>
        <v>1.6383711639007723</v>
      </c>
      <c r="K154" s="61">
        <v>76</v>
      </c>
      <c r="L154" s="65"/>
      <c r="M154" s="66"/>
    </row>
    <row r="155" spans="1:13" x14ac:dyDescent="0.4">
      <c r="A155" s="61">
        <v>76.5</v>
      </c>
      <c r="B155" s="62">
        <f t="shared" si="14"/>
        <v>76.400000000000006</v>
      </c>
      <c r="C155" s="62">
        <f t="shared" si="19"/>
        <v>41161.717809545567</v>
      </c>
      <c r="D155" s="62">
        <f t="shared" si="15"/>
        <v>60163.282190454433</v>
      </c>
      <c r="E155" s="62">
        <f t="shared" si="16"/>
        <v>424.65522995626418</v>
      </c>
      <c r="G155" s="61">
        <v>76.5</v>
      </c>
      <c r="H155" s="62">
        <f t="shared" si="17"/>
        <v>1194.0739720735392</v>
      </c>
      <c r="I155" s="63">
        <f t="shared" si="20"/>
        <v>0.4246552299562642</v>
      </c>
      <c r="J155" s="64">
        <f t="shared" si="18"/>
        <v>1.6637745956145749</v>
      </c>
      <c r="K155" s="61">
        <v>76.5</v>
      </c>
      <c r="L155" s="65"/>
      <c r="M155" s="66"/>
    </row>
    <row r="156" spans="1:13" x14ac:dyDescent="0.4">
      <c r="A156" s="61">
        <v>77</v>
      </c>
      <c r="B156" s="62">
        <f t="shared" si="14"/>
        <v>76.900000000000006</v>
      </c>
      <c r="C156" s="62">
        <f t="shared" si="19"/>
        <v>42025.790165470047</v>
      </c>
      <c r="D156" s="62">
        <f t="shared" si="15"/>
        <v>59299.209834529953</v>
      </c>
      <c r="E156" s="62">
        <f t="shared" si="16"/>
        <v>439.88736576662666</v>
      </c>
      <c r="G156" s="61">
        <v>77</v>
      </c>
      <c r="H156" s="62">
        <f t="shared" si="17"/>
        <v>1235.0629737299776</v>
      </c>
      <c r="I156" s="63">
        <f t="shared" si="20"/>
        <v>0.43988736576662668</v>
      </c>
      <c r="J156" s="64">
        <f t="shared" si="18"/>
        <v>1.6903333239007017</v>
      </c>
      <c r="K156" s="61">
        <v>77</v>
      </c>
      <c r="L156" s="65"/>
      <c r="M156" s="66"/>
    </row>
    <row r="157" spans="1:13" x14ac:dyDescent="0.4">
      <c r="A157" s="61">
        <v>77.5</v>
      </c>
      <c r="B157" s="62">
        <f t="shared" si="14"/>
        <v>77.400000000000006</v>
      </c>
      <c r="C157" s="62">
        <f t="shared" si="19"/>
        <v>42905.169678334678</v>
      </c>
      <c r="D157" s="62">
        <f t="shared" si="15"/>
        <v>58419.830321665322</v>
      </c>
      <c r="E157" s="62">
        <f t="shared" si="16"/>
        <v>455.85197399800177</v>
      </c>
      <c r="G157" s="61">
        <v>77.5</v>
      </c>
      <c r="H157" s="62">
        <f t="shared" si="17"/>
        <v>1278.008991944539</v>
      </c>
      <c r="I157" s="63">
        <f t="shared" si="20"/>
        <v>0.45585197399800176</v>
      </c>
      <c r="J157" s="64">
        <f t="shared" si="18"/>
        <v>1.718125473948551</v>
      </c>
      <c r="K157" s="61">
        <v>77.5</v>
      </c>
      <c r="L157" s="65"/>
      <c r="M157" s="66"/>
    </row>
    <row r="158" spans="1:13" x14ac:dyDescent="0.4">
      <c r="A158" s="61">
        <v>78</v>
      </c>
      <c r="B158" s="62">
        <f t="shared" si="14"/>
        <v>77.900000000000006</v>
      </c>
      <c r="C158" s="62">
        <f t="shared" si="19"/>
        <v>43800.07312044681</v>
      </c>
      <c r="D158" s="62">
        <f t="shared" si="15"/>
        <v>57524.92687955319</v>
      </c>
      <c r="E158" s="62">
        <f t="shared" si="16"/>
        <v>472.5995104449197</v>
      </c>
      <c r="G158" s="61">
        <v>78</v>
      </c>
      <c r="H158" s="62">
        <f t="shared" si="17"/>
        <v>1323.0469746881583</v>
      </c>
      <c r="I158" s="63">
        <f t="shared" si="20"/>
        <v>0.47259951044491971</v>
      </c>
      <c r="J158" s="64">
        <f t="shared" si="18"/>
        <v>1.7472363477635033</v>
      </c>
      <c r="K158" s="61">
        <v>78</v>
      </c>
      <c r="L158" s="65"/>
      <c r="M158" s="66"/>
    </row>
    <row r="159" spans="1:13" x14ac:dyDescent="0.4">
      <c r="A159" s="61">
        <v>78.5</v>
      </c>
      <c r="B159" s="62">
        <f t="shared" si="14"/>
        <v>78.400000000000006</v>
      </c>
      <c r="C159" s="62">
        <f t="shared" si="19"/>
        <v>44710.71945748802</v>
      </c>
      <c r="D159" s="62">
        <f t="shared" si="15"/>
        <v>56614.28054251198</v>
      </c>
      <c r="E159" s="62">
        <f t="shared" si="16"/>
        <v>490.18517548306613</v>
      </c>
      <c r="G159" s="61">
        <v>78.5</v>
      </c>
      <c r="H159" s="62">
        <f t="shared" si="17"/>
        <v>1370.3245596241763</v>
      </c>
      <c r="I159" s="63">
        <f t="shared" si="20"/>
        <v>0.49018517548306612</v>
      </c>
      <c r="J159" s="64">
        <f t="shared" si="18"/>
        <v>1.7777592685275725</v>
      </c>
      <c r="K159" s="61">
        <v>78.5</v>
      </c>
      <c r="L159" s="65"/>
      <c r="M159" s="66"/>
    </row>
    <row r="160" spans="1:13" x14ac:dyDescent="0.4">
      <c r="A160" s="61">
        <v>79</v>
      </c>
      <c r="B160" s="62">
        <f t="shared" si="14"/>
        <v>78.900000000000006</v>
      </c>
      <c r="C160" s="62">
        <f t="shared" si="19"/>
        <v>45637.329859369311</v>
      </c>
      <c r="D160" s="62">
        <f t="shared" si="15"/>
        <v>55687.670140630689</v>
      </c>
      <c r="E160" s="62">
        <f t="shared" si="16"/>
        <v>508.66948575631022</v>
      </c>
      <c r="G160" s="61">
        <v>79</v>
      </c>
      <c r="H160" s="62">
        <f t="shared" si="17"/>
        <v>1420.0036031004706</v>
      </c>
      <c r="I160" s="63">
        <f t="shared" si="20"/>
        <v>0.50866948575631021</v>
      </c>
      <c r="J160" s="64">
        <f t="shared" si="18"/>
        <v>1.8097965470384754</v>
      </c>
      <c r="K160" s="61">
        <v>79</v>
      </c>
      <c r="L160" s="65"/>
      <c r="M160" s="66"/>
    </row>
    <row r="161" spans="1:13" x14ac:dyDescent="0.4">
      <c r="A161" s="61">
        <v>79.5</v>
      </c>
      <c r="B161" s="62">
        <f t="shared" si="14"/>
        <v>79.400000000000006</v>
      </c>
      <c r="C161" s="62">
        <f t="shared" si="19"/>
        <v>46580.127711026675</v>
      </c>
      <c r="D161" s="62">
        <f t="shared" si="15"/>
        <v>54744.872288973325</v>
      </c>
      <c r="E161" s="62">
        <f t="shared" si="16"/>
        <v>528.11893055904602</v>
      </c>
      <c r="G161" s="61">
        <v>79.5</v>
      </c>
      <c r="H161" s="62">
        <f t="shared" si="17"/>
        <v>1472.2619356617026</v>
      </c>
      <c r="I161" s="63">
        <f t="shared" si="20"/>
        <v>0.52811893055904602</v>
      </c>
      <c r="J161" s="64">
        <f t="shared" si="18"/>
        <v>1.8434605913270694</v>
      </c>
      <c r="K161" s="61">
        <v>79.5</v>
      </c>
      <c r="L161" s="65"/>
      <c r="M161" s="66"/>
    </row>
    <row r="162" spans="1:13" x14ac:dyDescent="0.4">
      <c r="A162" s="61">
        <v>80</v>
      </c>
      <c r="B162" s="62">
        <f t="shared" si="14"/>
        <v>79.900000000000006</v>
      </c>
      <c r="C162" s="62">
        <f t="shared" si="19"/>
        <v>47539.338623156662</v>
      </c>
      <c r="D162" s="62">
        <f t="shared" si="15"/>
        <v>53785.661376843338</v>
      </c>
      <c r="E162" s="62">
        <f t="shared" si="16"/>
        <v>548.60672792313426</v>
      </c>
      <c r="G162" s="61">
        <v>80</v>
      </c>
      <c r="H162" s="62">
        <f t="shared" si="17"/>
        <v>1527.2953842244742</v>
      </c>
      <c r="I162" s="63">
        <f t="shared" si="20"/>
        <v>0.54860672792313425</v>
      </c>
      <c r="J162" s="64">
        <f t="shared" si="18"/>
        <v>1.8788751848265388</v>
      </c>
      <c r="K162" s="61">
        <v>80</v>
      </c>
      <c r="L162" s="65"/>
      <c r="M162" s="66"/>
    </row>
    <row r="163" spans="1:13" x14ac:dyDescent="0.4">
      <c r="A163" s="61">
        <v>80.5</v>
      </c>
      <c r="B163" s="62">
        <f t="shared" si="14"/>
        <v>80.400000000000006</v>
      </c>
      <c r="C163" s="62">
        <f t="shared" si="19"/>
        <v>48515.190442890467</v>
      </c>
      <c r="D163" s="62">
        <f t="shared" si="15"/>
        <v>52809.809557109533</v>
      </c>
      <c r="E163" s="62">
        <f t="shared" si="16"/>
        <v>570.21369853752333</v>
      </c>
      <c r="G163" s="61">
        <v>80.5</v>
      </c>
      <c r="H163" s="62">
        <f t="shared" si="17"/>
        <v>1585.3201093994894</v>
      </c>
      <c r="I163" s="63">
        <f t="shared" si="20"/>
        <v>0.57021369853752335</v>
      </c>
      <c r="J163" s="64">
        <f t="shared" si="18"/>
        <v>1.9161769637390678</v>
      </c>
      <c r="K163" s="61">
        <v>80.5</v>
      </c>
      <c r="L163" s="65"/>
      <c r="M163" s="66"/>
    </row>
    <row r="164" spans="1:13" x14ac:dyDescent="0.4">
      <c r="A164" s="61">
        <v>81</v>
      </c>
      <c r="B164" s="62">
        <f t="shared" si="14"/>
        <v>80.900000000000006</v>
      </c>
      <c r="C164" s="62">
        <f t="shared" si="19"/>
        <v>49507.91326440611</v>
      </c>
      <c r="D164" s="62">
        <f t="shared" si="15"/>
        <v>51817.08673559389</v>
      </c>
      <c r="E164" s="62">
        <f t="shared" si="16"/>
        <v>593.02927949598109</v>
      </c>
      <c r="G164" s="61">
        <v>81</v>
      </c>
      <c r="H164" s="62">
        <f t="shared" si="17"/>
        <v>1646.5753167881528</v>
      </c>
      <c r="I164" s="63">
        <f t="shared" si="20"/>
        <v>0.59302927949598105</v>
      </c>
      <c r="J164" s="64">
        <f t="shared" si="18"/>
        <v>1.9555171307835482</v>
      </c>
      <c r="K164" s="61">
        <v>81</v>
      </c>
      <c r="L164" s="65"/>
      <c r="M164" s="66"/>
    </row>
    <row r="165" spans="1:13" x14ac:dyDescent="0.4">
      <c r="A165" s="61">
        <v>81.5</v>
      </c>
      <c r="B165" s="62">
        <f t="shared" si="14"/>
        <v>81.400000000000006</v>
      </c>
      <c r="C165" s="62">
        <f t="shared" si="19"/>
        <v>50517.739439477446</v>
      </c>
      <c r="D165" s="62">
        <f t="shared" si="15"/>
        <v>50807.260560522554</v>
      </c>
      <c r="E165" s="62">
        <f t="shared" si="16"/>
        <v>617.15270468927258</v>
      </c>
      <c r="G165" s="61">
        <v>81.5</v>
      </c>
      <c r="H165" s="62">
        <f t="shared" si="17"/>
        <v>1711.3264139747114</v>
      </c>
      <c r="I165" s="63">
        <f t="shared" si="20"/>
        <v>0.61715270468927264</v>
      </c>
      <c r="J165" s="64">
        <f t="shared" si="18"/>
        <v>1.997063450657661</v>
      </c>
      <c r="K165" s="61">
        <v>81.5</v>
      </c>
      <c r="L165" s="65"/>
      <c r="M165" s="66"/>
    </row>
    <row r="166" spans="1:13" x14ac:dyDescent="0.4">
      <c r="A166" s="61">
        <v>82</v>
      </c>
      <c r="B166" s="62">
        <f t="shared" si="14"/>
        <v>81.900000000000006</v>
      </c>
      <c r="C166" s="62">
        <f t="shared" si="19"/>
        <v>51544.903587959532</v>
      </c>
      <c r="D166" s="62">
        <f t="shared" si="15"/>
        <v>49780.096412040468</v>
      </c>
      <c r="E166" s="62">
        <f t="shared" si="16"/>
        <v>642.6943847012634</v>
      </c>
      <c r="G166" s="61">
        <v>82</v>
      </c>
      <c r="H166" s="62">
        <f t="shared" si="17"/>
        <v>1779.8687010975889</v>
      </c>
      <c r="I166" s="63">
        <f t="shared" si="20"/>
        <v>0.64269438470126339</v>
      </c>
      <c r="J166" s="64">
        <f t="shared" si="18"/>
        <v>2.0410025827636731</v>
      </c>
      <c r="K166" s="61">
        <v>82</v>
      </c>
      <c r="L166" s="65"/>
      <c r="M166" s="66"/>
    </row>
    <row r="167" spans="1:13" x14ac:dyDescent="0.4">
      <c r="A167" s="61">
        <v>82.5</v>
      </c>
      <c r="B167" s="62">
        <f t="shared" si="14"/>
        <v>82.4</v>
      </c>
      <c r="C167" s="62">
        <f t="shared" si="19"/>
        <v>52589.642608209084</v>
      </c>
      <c r="D167" s="62">
        <f t="shared" si="15"/>
        <v>48735.357391790916</v>
      </c>
      <c r="E167" s="62">
        <f t="shared" si="16"/>
        <v>669.77752668800645</v>
      </c>
      <c r="G167" s="61">
        <v>82.5</v>
      </c>
      <c r="H167" s="62">
        <f t="shared" si="17"/>
        <v>1852.5317032623818</v>
      </c>
      <c r="I167" s="63">
        <f t="shared" si="20"/>
        <v>0.6697775266880065</v>
      </c>
      <c r="J167" s="64">
        <f t="shared" si="18"/>
        <v>2.0875428196282981</v>
      </c>
      <c r="K167" s="61">
        <v>82.5</v>
      </c>
      <c r="L167" s="65"/>
      <c r="M167" s="66"/>
    </row>
    <row r="168" spans="1:13" x14ac:dyDescent="0.4">
      <c r="A168" s="61">
        <v>83</v>
      </c>
      <c r="B168" s="62">
        <f t="shared" si="14"/>
        <v>82.9</v>
      </c>
      <c r="C168" s="62">
        <f t="shared" si="19"/>
        <v>53652.195687439234</v>
      </c>
      <c r="D168" s="62">
        <f t="shared" si="15"/>
        <v>47672.804312560766</v>
      </c>
      <c r="E168" s="62">
        <f t="shared" si="16"/>
        <v>698.54004438554352</v>
      </c>
      <c r="G168" s="61">
        <v>83</v>
      </c>
      <c r="H168" s="62">
        <f t="shared" si="17"/>
        <v>1929.684278912767</v>
      </c>
      <c r="I168" s="63">
        <f t="shared" si="20"/>
        <v>0.69854004438554351</v>
      </c>
      <c r="J168" s="64">
        <f t="shared" si="18"/>
        <v>2.1369173157885761</v>
      </c>
      <c r="K168" s="61">
        <v>83</v>
      </c>
      <c r="L168" s="65"/>
      <c r="M168" s="66"/>
    </row>
    <row r="169" spans="1:13" x14ac:dyDescent="0.4">
      <c r="A169" s="61">
        <v>83.5</v>
      </c>
      <c r="B169" s="62">
        <f t="shared" si="14"/>
        <v>83.4</v>
      </c>
      <c r="C169" s="62">
        <f t="shared" si="19"/>
        <v>54732.804312008324</v>
      </c>
      <c r="D169" s="62">
        <f t="shared" si="15"/>
        <v>46592.195687991676</v>
      </c>
      <c r="E169" s="62">
        <f t="shared" si="16"/>
        <v>729.13682073573887</v>
      </c>
      <c r="G169" s="61">
        <v>83.5</v>
      </c>
      <c r="H169" s="62">
        <f t="shared" si="17"/>
        <v>2011.7406712888787</v>
      </c>
      <c r="I169" s="63">
        <f t="shared" si="20"/>
        <v>0.72913682073573882</v>
      </c>
      <c r="J169" s="64">
        <f t="shared" si="18"/>
        <v>2.1893879127827169</v>
      </c>
      <c r="K169" s="61">
        <v>83.5</v>
      </c>
      <c r="L169" s="65"/>
      <c r="M169" s="66"/>
    </row>
    <row r="170" spans="1:13" x14ac:dyDescent="0.4">
      <c r="A170" s="61">
        <v>84</v>
      </c>
      <c r="B170" s="62">
        <f t="shared" si="14"/>
        <v>83.9</v>
      </c>
      <c r="C170" s="62">
        <f t="shared" si="19"/>
        <v>55831.712277640851</v>
      </c>
      <c r="D170" s="62">
        <f t="shared" si="15"/>
        <v>45493.287722359149</v>
      </c>
      <c r="E170" s="62">
        <f t="shared" si="16"/>
        <v>761.74240148975673</v>
      </c>
      <c r="G170" s="61">
        <v>84</v>
      </c>
      <c r="H170" s="62">
        <f t="shared" si="17"/>
        <v>2099.1677125482875</v>
      </c>
      <c r="I170" s="63">
        <f t="shared" si="20"/>
        <v>0.76174240148975669</v>
      </c>
      <c r="J170" s="64">
        <f t="shared" si="18"/>
        <v>2.2452496927137813</v>
      </c>
      <c r="K170" s="61">
        <v>84</v>
      </c>
      <c r="L170" s="65"/>
      <c r="M170" s="66"/>
    </row>
    <row r="171" spans="1:13" x14ac:dyDescent="0.4">
      <c r="A171" s="61">
        <v>84.5</v>
      </c>
      <c r="B171" s="62">
        <f t="shared" si="14"/>
        <v>84.4</v>
      </c>
      <c r="C171" s="62">
        <f t="shared" si="19"/>
        <v>56949.165699580604</v>
      </c>
      <c r="D171" s="62">
        <f t="shared" si="15"/>
        <v>44375.834300419396</v>
      </c>
      <c r="E171" s="62">
        <f t="shared" si="16"/>
        <v>796.55421870221073</v>
      </c>
      <c r="G171" s="61">
        <v>84.5</v>
      </c>
      <c r="H171" s="62">
        <f t="shared" si="17"/>
        <v>2192.4934450954315</v>
      </c>
      <c r="I171" s="63">
        <f t="shared" si="20"/>
        <v>0.79655421870221077</v>
      </c>
      <c r="J171" s="64">
        <f t="shared" si="18"/>
        <v>2.3048364275998554</v>
      </c>
      <c r="K171" s="61">
        <v>84.5</v>
      </c>
      <c r="L171" s="65"/>
      <c r="M171" s="66"/>
    </row>
    <row r="172" spans="1:13" x14ac:dyDescent="0.4">
      <c r="A172" s="61">
        <v>85</v>
      </c>
      <c r="B172" s="62">
        <f t="shared" si="14"/>
        <v>84.9</v>
      </c>
      <c r="C172" s="62">
        <f t="shared" si="19"/>
        <v>58085.413022674889</v>
      </c>
      <c r="D172" s="62">
        <f t="shared" si="15"/>
        <v>43239.586977325111</v>
      </c>
      <c r="E172" s="62">
        <f t="shared" si="16"/>
        <v>833.79646985290481</v>
      </c>
      <c r="G172" s="61">
        <v>85</v>
      </c>
      <c r="H172" s="62">
        <f t="shared" si="17"/>
        <v>2292.3174964066684</v>
      </c>
      <c r="I172" s="63">
        <f>(18/29)*(C172/($N$2-C172))</f>
        <v>0.83379646985290479</v>
      </c>
      <c r="J172" s="64">
        <f t="shared" si="18"/>
        <v>2.3685271370705054</v>
      </c>
      <c r="K172" s="61">
        <v>85</v>
      </c>
      <c r="L172" s="65"/>
      <c r="M172" s="66"/>
    </row>
    <row r="173" spans="1:13" x14ac:dyDescent="0.4">
      <c r="A173" s="61">
        <v>85.5</v>
      </c>
      <c r="B173" s="62">
        <f t="shared" si="14"/>
        <v>85.4</v>
      </c>
      <c r="C173" s="62">
        <f t="shared" si="19"/>
        <v>59240.705031388752</v>
      </c>
      <c r="D173" s="62">
        <f t="shared" si="15"/>
        <v>42084.294968611248</v>
      </c>
      <c r="E173" s="62">
        <f t="shared" si="16"/>
        <v>873.72481362770827</v>
      </c>
      <c r="G173" s="61">
        <v>85.5</v>
      </c>
      <c r="H173" s="62">
        <f t="shared" si="17"/>
        <v>2399.3236380346284</v>
      </c>
      <c r="I173" s="63">
        <f t="shared" si="20"/>
        <v>0.87372481362770826</v>
      </c>
      <c r="J173" s="64">
        <f t="shared" si="18"/>
        <v>2.436754026635259</v>
      </c>
      <c r="K173" s="61">
        <v>85.5</v>
      </c>
      <c r="L173" s="65"/>
      <c r="M173" s="66"/>
    </row>
    <row r="174" spans="1:13" x14ac:dyDescent="0.4">
      <c r="A174" s="61">
        <v>86</v>
      </c>
      <c r="B174" s="62">
        <f t="shared" si="14"/>
        <v>85.9</v>
      </c>
      <c r="C174" s="62">
        <f t="shared" si="19"/>
        <v>60415.294859748967</v>
      </c>
      <c r="D174" s="62">
        <f t="shared" si="15"/>
        <v>40909.705140251033</v>
      </c>
      <c r="E174" s="62">
        <f t="shared" si="16"/>
        <v>916.63209023576906</v>
      </c>
      <c r="G174" s="61">
        <v>86</v>
      </c>
      <c r="H174" s="62">
        <f t="shared" si="17"/>
        <v>2514.2950847656771</v>
      </c>
      <c r="I174" s="63">
        <f t="shared" si="20"/>
        <v>0.91663209023576908</v>
      </c>
      <c r="J174" s="64">
        <f t="shared" si="18"/>
        <v>2.510012157943033</v>
      </c>
      <c r="K174" s="61">
        <v>86</v>
      </c>
      <c r="L174" s="65"/>
      <c r="M174" s="66"/>
    </row>
    <row r="175" spans="1:13" x14ac:dyDescent="0.4">
      <c r="A175" s="61">
        <v>86.5</v>
      </c>
      <c r="B175" s="62">
        <f t="shared" si="14"/>
        <v>86.4</v>
      </c>
      <c r="C175" s="62">
        <f t="shared" si="19"/>
        <v>61609.438001216447</v>
      </c>
      <c r="D175" s="62">
        <f t="shared" si="15"/>
        <v>39715.561998783553</v>
      </c>
      <c r="E175" s="62">
        <f t="shared" si="16"/>
        <v>962.85533689571128</v>
      </c>
      <c r="G175" s="61">
        <v>86.5</v>
      </c>
      <c r="H175" s="62">
        <f t="shared" si="17"/>
        <v>2638.1332577456142</v>
      </c>
      <c r="I175" s="63">
        <f t="shared" si="20"/>
        <v>0.96285533689571123</v>
      </c>
      <c r="J175" s="64">
        <f t="shared" si="18"/>
        <v>2.5888713085402473</v>
      </c>
      <c r="K175" s="61">
        <v>86.5</v>
      </c>
      <c r="L175" s="65"/>
      <c r="M175" s="66"/>
    </row>
    <row r="176" spans="1:13" x14ac:dyDescent="0.4">
      <c r="A176" s="61">
        <v>87</v>
      </c>
      <c r="B176" s="62">
        <f t="shared" si="14"/>
        <v>86.9</v>
      </c>
      <c r="C176" s="62">
        <f>611.14*EXP(17.269*(((273.16+A176)-273.16)/((273.16+A176)-35.86)))</f>
        <v>62823.392318486331</v>
      </c>
      <c r="D176" s="62">
        <f t="shared" si="15"/>
        <v>38501.607681513669</v>
      </c>
      <c r="E176" s="62">
        <f t="shared" si="16"/>
        <v>1012.7844540280124</v>
      </c>
      <c r="G176" s="61">
        <v>87</v>
      </c>
      <c r="H176" s="62">
        <f t="shared" si="17"/>
        <v>2771.8809624684886</v>
      </c>
      <c r="I176" s="63">
        <f t="shared" si="20"/>
        <v>1.0127844540280124</v>
      </c>
      <c r="J176" s="64">
        <f t="shared" si="18"/>
        <v>2.6739906221675254</v>
      </c>
      <c r="K176" s="61">
        <v>87</v>
      </c>
      <c r="L176" s="65"/>
      <c r="M176" s="66"/>
    </row>
    <row r="177" spans="1:13" x14ac:dyDescent="0.4">
      <c r="A177" s="61">
        <v>87.5</v>
      </c>
      <c r="B177" s="62">
        <f t="shared" si="14"/>
        <v>87.4</v>
      </c>
      <c r="C177" s="62">
        <f t="shared" si="19"/>
        <v>64057.418053215704</v>
      </c>
      <c r="D177" s="62">
        <f t="shared" si="15"/>
        <v>37267.581946784296</v>
      </c>
      <c r="E177" s="62">
        <f t="shared" si="16"/>
        <v>1066.8729937847861</v>
      </c>
      <c r="G177" s="61">
        <v>87.5</v>
      </c>
      <c r="H177" s="62">
        <f t="shared" si="17"/>
        <v>2916.7512430203606</v>
      </c>
      <c r="I177" s="63">
        <f t="shared" si="20"/>
        <v>1.0668729937847861</v>
      </c>
      <c r="J177" s="64">
        <f t="shared" si="18"/>
        <v>2.7661368468932266</v>
      </c>
      <c r="K177" s="61">
        <v>87.5</v>
      </c>
      <c r="L177" s="65"/>
      <c r="M177" s="66"/>
    </row>
    <row r="178" spans="1:13" x14ac:dyDescent="0.4">
      <c r="A178" s="61">
        <v>88</v>
      </c>
      <c r="B178" s="62">
        <f t="shared" si="14"/>
        <v>87.9</v>
      </c>
      <c r="C178" s="62">
        <f t="shared" si="19"/>
        <v>65311.777835677101</v>
      </c>
      <c r="D178" s="62">
        <f t="shared" si="15"/>
        <v>36013.222164322899</v>
      </c>
      <c r="E178" s="62">
        <f t="shared" si="16"/>
        <v>1125.6517031037481</v>
      </c>
      <c r="G178" s="61">
        <v>88</v>
      </c>
      <c r="H178" s="62">
        <f t="shared" si="17"/>
        <v>3074.1636033805053</v>
      </c>
      <c r="I178" s="63">
        <f t="shared" si="20"/>
        <v>1.1256517031037481</v>
      </c>
      <c r="J178" s="64">
        <f t="shared" si="18"/>
        <v>2.8662072298031602</v>
      </c>
      <c r="K178" s="61">
        <v>88</v>
      </c>
      <c r="L178" s="65"/>
      <c r="M178" s="66"/>
    </row>
    <row r="179" spans="1:13" x14ac:dyDescent="0.4">
      <c r="A179" s="61">
        <v>88.5</v>
      </c>
      <c r="B179" s="62">
        <f t="shared" si="14"/>
        <v>88.4</v>
      </c>
      <c r="C179" s="62">
        <f t="shared" si="19"/>
        <v>66586.736694337465</v>
      </c>
      <c r="D179" s="62">
        <f t="shared" si="15"/>
        <v>34738.263305662535</v>
      </c>
      <c r="E179" s="62">
        <f t="shared" si="16"/>
        <v>1189.7456782512113</v>
      </c>
      <c r="G179" s="61">
        <v>88.5</v>
      </c>
      <c r="H179" s="62">
        <f t="shared" si="17"/>
        <v>3245.7898877581988</v>
      </c>
      <c r="I179" s="63">
        <f t="shared" si="20"/>
        <v>1.1897456782512112</v>
      </c>
      <c r="J179" s="64">
        <f t="shared" si="18"/>
        <v>2.9752585169558392</v>
      </c>
      <c r="K179" s="61">
        <v>88.5</v>
      </c>
      <c r="L179" s="65"/>
      <c r="M179" s="66"/>
    </row>
    <row r="180" spans="1:13" x14ac:dyDescent="0.4">
      <c r="A180" s="61">
        <v>89</v>
      </c>
      <c r="B180" s="62">
        <f t="shared" si="14"/>
        <v>88.9</v>
      </c>
      <c r="C180" s="62">
        <f t="shared" si="19"/>
        <v>67882.562065362552</v>
      </c>
      <c r="D180" s="62">
        <f t="shared" si="15"/>
        <v>33442.437934637448</v>
      </c>
      <c r="E180" s="62">
        <f t="shared" si="16"/>
        <v>1259.8963066903166</v>
      </c>
      <c r="G180" s="61">
        <v>89</v>
      </c>
      <c r="H180" s="62">
        <f t="shared" si="17"/>
        <v>3433.6129647742414</v>
      </c>
      <c r="I180" s="63">
        <f t="shared" si="20"/>
        <v>1.2598963066903166</v>
      </c>
      <c r="J180" s="64">
        <f t="shared" si="18"/>
        <v>3.0945440463684979</v>
      </c>
      <c r="K180" s="61">
        <v>89</v>
      </c>
      <c r="L180" s="65"/>
      <c r="M180" s="66"/>
    </row>
    <row r="181" spans="1:13" x14ac:dyDescent="0.4">
      <c r="A181" s="61">
        <v>89.5</v>
      </c>
      <c r="B181" s="62">
        <f t="shared" si="14"/>
        <v>89.4</v>
      </c>
      <c r="C181" s="62">
        <f t="shared" si="19"/>
        <v>69199.523802044481</v>
      </c>
      <c r="D181" s="62">
        <f t="shared" si="15"/>
        <v>32125.476197955519</v>
      </c>
      <c r="E181" s="62">
        <f t="shared" si="16"/>
        <v>1336.9896309745498</v>
      </c>
      <c r="G181" s="61">
        <v>89.5</v>
      </c>
      <c r="H181" s="62">
        <f t="shared" si="17"/>
        <v>3640.0025875414826</v>
      </c>
      <c r="I181" s="63">
        <f t="shared" si="20"/>
        <v>1.3369896309745497</v>
      </c>
      <c r="J181" s="64">
        <f t="shared" si="18"/>
        <v>3.2255616975139394</v>
      </c>
      <c r="K181" s="61">
        <v>89.5</v>
      </c>
      <c r="L181" s="65"/>
      <c r="M181" s="66"/>
    </row>
    <row r="182" spans="1:13" x14ac:dyDescent="0.4">
      <c r="A182" s="61">
        <v>90</v>
      </c>
      <c r="B182" s="62">
        <f t="shared" si="14"/>
        <v>89.9</v>
      </c>
      <c r="C182" s="62">
        <f t="shared" si="19"/>
        <v>70537.894184153469</v>
      </c>
      <c r="D182" s="62">
        <f t="shared" si="15"/>
        <v>30787.105815846531</v>
      </c>
      <c r="E182" s="62">
        <f t="shared" si="16"/>
        <v>1422.0934400145916</v>
      </c>
      <c r="G182" s="61">
        <v>90</v>
      </c>
      <c r="H182" s="62">
        <f t="shared" si="17"/>
        <v>3867.8145953667577</v>
      </c>
      <c r="I182" s="63">
        <f t="shared" si="20"/>
        <v>1.4220934400145915</v>
      </c>
      <c r="J182" s="64">
        <f t="shared" si="18"/>
        <v>3.3701165945467588</v>
      </c>
      <c r="K182" s="61">
        <v>90</v>
      </c>
      <c r="L182" s="65"/>
      <c r="M182" s="66"/>
    </row>
    <row r="183" spans="1:13" x14ac:dyDescent="0.4">
      <c r="A183" s="61">
        <v>90.5</v>
      </c>
      <c r="B183" s="62">
        <f t="shared" si="14"/>
        <v>90.4</v>
      </c>
      <c r="C183" s="62">
        <f t="shared" si="19"/>
        <v>71897.947927211164</v>
      </c>
      <c r="D183" s="62">
        <f t="shared" si="15"/>
        <v>29427.052072788836</v>
      </c>
      <c r="E183" s="62">
        <f t="shared" si="16"/>
        <v>1516.506389976139</v>
      </c>
      <c r="G183" s="61">
        <v>90.5</v>
      </c>
      <c r="H183" s="62">
        <f t="shared" si="17"/>
        <v>4120.5222890611985</v>
      </c>
      <c r="I183" s="63">
        <f t="shared" si="20"/>
        <v>1.5165063899761391</v>
      </c>
      <c r="J183" s="64">
        <f t="shared" si="18"/>
        <v>3.5304041457651389</v>
      </c>
      <c r="K183" s="61">
        <v>90.5</v>
      </c>
      <c r="L183" s="65"/>
      <c r="M183" s="66"/>
    </row>
    <row r="184" spans="1:13" x14ac:dyDescent="0.4">
      <c r="A184" s="61">
        <v>91</v>
      </c>
      <c r="B184" s="62">
        <f t="shared" si="14"/>
        <v>90.9</v>
      </c>
      <c r="C184" s="62">
        <f t="shared" si="19"/>
        <v>73279.962191686966</v>
      </c>
      <c r="D184" s="62">
        <f t="shared" si="15"/>
        <v>28045.037808313034</v>
      </c>
      <c r="E184" s="62">
        <f t="shared" si="16"/>
        <v>1621.8239666741838</v>
      </c>
      <c r="G184" s="61">
        <v>91</v>
      </c>
      <c r="H184" s="62">
        <f t="shared" si="17"/>
        <v>4402.3928493373151</v>
      </c>
      <c r="I184" s="63">
        <f t="shared" si="20"/>
        <v>1.6218239666741838</v>
      </c>
      <c r="J184" s="64">
        <f t="shared" si="18"/>
        <v>3.7091215538245645</v>
      </c>
      <c r="K184" s="61">
        <v>91</v>
      </c>
      <c r="L184" s="65"/>
      <c r="M184" s="66"/>
    </row>
    <row r="185" spans="1:13" x14ac:dyDescent="0.4">
      <c r="A185" s="61">
        <v>91.5</v>
      </c>
      <c r="B185" s="62">
        <f t="shared" si="14"/>
        <v>91.4</v>
      </c>
      <c r="C185" s="62">
        <f t="shared" si="19"/>
        <v>74684.21659211423</v>
      </c>
      <c r="D185" s="62">
        <f t="shared" si="15"/>
        <v>26640.78340788577</v>
      </c>
      <c r="E185" s="62">
        <f t="shared" si="16"/>
        <v>1740.0284343612727</v>
      </c>
      <c r="G185" s="61">
        <v>91.5</v>
      </c>
      <c r="H185" s="62">
        <f t="shared" si="17"/>
        <v>4718.7279075353108</v>
      </c>
      <c r="I185" s="63">
        <f t="shared" si="20"/>
        <v>1.7400284343612726</v>
      </c>
      <c r="J185" s="64">
        <f t="shared" si="18"/>
        <v>3.9096198752385343</v>
      </c>
      <c r="K185" s="61">
        <v>91.5</v>
      </c>
      <c r="L185" s="65"/>
      <c r="M185" s="66"/>
    </row>
    <row r="186" spans="1:13" x14ac:dyDescent="0.4">
      <c r="A186" s="61">
        <v>92</v>
      </c>
      <c r="B186" s="62">
        <f t="shared" si="14"/>
        <v>91.9</v>
      </c>
      <c r="C186" s="62">
        <f t="shared" si="19"/>
        <v>76110.993206127998</v>
      </c>
      <c r="D186" s="62">
        <f t="shared" si="15"/>
        <v>25214.006793872002</v>
      </c>
      <c r="E186" s="62">
        <f t="shared" si="16"/>
        <v>1873.6136035079921</v>
      </c>
      <c r="G186" s="61">
        <v>92</v>
      </c>
      <c r="H186" s="62">
        <f t="shared" si="17"/>
        <v>5076.197240787119</v>
      </c>
      <c r="I186" s="63">
        <f t="shared" si="20"/>
        <v>1.8736136035079922</v>
      </c>
      <c r="J186" s="64">
        <f t="shared" si="18"/>
        <v>4.1361149418036041</v>
      </c>
      <c r="K186" s="61">
        <v>92</v>
      </c>
      <c r="L186" s="65"/>
      <c r="M186" s="66"/>
    </row>
    <row r="187" spans="1:13" x14ac:dyDescent="0.4">
      <c r="A187" s="61">
        <v>92.5</v>
      </c>
      <c r="B187" s="62">
        <f t="shared" si="14"/>
        <v>92.4</v>
      </c>
      <c r="C187" s="62">
        <f t="shared" si="19"/>
        <v>77560.576583422066</v>
      </c>
      <c r="D187" s="62">
        <f t="shared" si="15"/>
        <v>23764.423416577934</v>
      </c>
      <c r="E187" s="62">
        <f t="shared" si="16"/>
        <v>2025.7612267990014</v>
      </c>
      <c r="G187" s="61">
        <v>92.5</v>
      </c>
      <c r="H187" s="62">
        <f t="shared" si="17"/>
        <v>5483.3105483894633</v>
      </c>
      <c r="I187" s="63">
        <f t="shared" si="20"/>
        <v>2.0257612267990015</v>
      </c>
      <c r="J187" s="64">
        <f t="shared" si="18"/>
        <v>4.3939855601426219</v>
      </c>
      <c r="K187" s="61">
        <v>92.5</v>
      </c>
      <c r="L187" s="65"/>
      <c r="M187" s="66"/>
    </row>
    <row r="188" spans="1:13" x14ac:dyDescent="0.4">
      <c r="A188" s="61">
        <v>93</v>
      </c>
      <c r="B188" s="62">
        <f t="shared" si="14"/>
        <v>92.9</v>
      </c>
      <c r="C188" s="62">
        <f t="shared" si="19"/>
        <v>79033.253754624457</v>
      </c>
      <c r="D188" s="62">
        <f t="shared" si="15"/>
        <v>22291.746245375543</v>
      </c>
      <c r="E188" s="62">
        <f t="shared" si="16"/>
        <v>2200.5957936242116</v>
      </c>
      <c r="G188" s="61">
        <v>93</v>
      </c>
      <c r="H188" s="62">
        <f t="shared" si="17"/>
        <v>5951.0989073006713</v>
      </c>
      <c r="I188" s="63">
        <f t="shared" si="20"/>
        <v>2.2005957936242115</v>
      </c>
      <c r="J188" s="64">
        <f t="shared" si="18"/>
        <v>4.6902042448451624</v>
      </c>
      <c r="K188" s="61">
        <v>93</v>
      </c>
      <c r="L188" s="65"/>
      <c r="M188" s="66"/>
    </row>
    <row r="189" spans="1:13" x14ac:dyDescent="0.4">
      <c r="A189" s="61">
        <v>93.5</v>
      </c>
      <c r="B189" s="62">
        <f t="shared" si="14"/>
        <v>93.4</v>
      </c>
      <c r="C189" s="62">
        <f t="shared" si="19"/>
        <v>80529.314240092906</v>
      </c>
      <c r="D189" s="62">
        <f t="shared" si="15"/>
        <v>20795.685759907094</v>
      </c>
      <c r="E189" s="62">
        <f t="shared" si="16"/>
        <v>2403.5616263888733</v>
      </c>
      <c r="G189" s="61">
        <v>93.5</v>
      </c>
      <c r="H189" s="62">
        <f t="shared" si="17"/>
        <v>6494.1233275157638</v>
      </c>
      <c r="I189" s="63">
        <f t="shared" si="20"/>
        <v>2.4035616263888731</v>
      </c>
      <c r="J189" s="64">
        <f t="shared" si="18"/>
        <v>5.0339747043010563</v>
      </c>
      <c r="K189" s="61">
        <v>93.5</v>
      </c>
      <c r="L189" s="65"/>
      <c r="M189" s="66"/>
    </row>
    <row r="190" spans="1:13" x14ac:dyDescent="0.4">
      <c r="A190" s="61">
        <v>94</v>
      </c>
      <c r="B190" s="62">
        <f t="shared" si="14"/>
        <v>93.9</v>
      </c>
      <c r="C190" s="62">
        <f t="shared" si="19"/>
        <v>82049.050058626279</v>
      </c>
      <c r="D190" s="62">
        <f t="shared" si="15"/>
        <v>19275.949941373721</v>
      </c>
      <c r="E190" s="62">
        <f t="shared" si="16"/>
        <v>2641.9967235339009</v>
      </c>
      <c r="G190" s="61">
        <v>94</v>
      </c>
      <c r="H190" s="62">
        <f t="shared" si="17"/>
        <v>7132.0095124117224</v>
      </c>
      <c r="I190" s="63">
        <f t="shared" si="20"/>
        <v>2.641996723533901</v>
      </c>
      <c r="J190" s="64">
        <f t="shared" si="18"/>
        <v>5.4377019292094921</v>
      </c>
      <c r="K190" s="61">
        <v>94</v>
      </c>
      <c r="L190" s="65"/>
      <c r="M190" s="66"/>
    </row>
    <row r="191" spans="1:13" x14ac:dyDescent="0.4">
      <c r="A191" s="61">
        <v>94.5</v>
      </c>
      <c r="B191" s="62">
        <f t="shared" si="14"/>
        <v>94.4</v>
      </c>
      <c r="C191" s="62">
        <f t="shared" si="19"/>
        <v>83592.755736094492</v>
      </c>
      <c r="D191" s="62">
        <f t="shared" si="15"/>
        <v>17732.244263905508</v>
      </c>
      <c r="E191" s="62">
        <f t="shared" si="16"/>
        <v>2926.0345143317272</v>
      </c>
      <c r="G191" s="61">
        <v>94.5</v>
      </c>
      <c r="H191" s="62">
        <f t="shared" si="17"/>
        <v>7891.8596289591796</v>
      </c>
      <c r="I191" s="63">
        <f t="shared" si="20"/>
        <v>2.926034514331727</v>
      </c>
      <c r="J191" s="64">
        <f t="shared" si="18"/>
        <v>5.9185166198811947</v>
      </c>
      <c r="K191" s="61">
        <v>94.5</v>
      </c>
      <c r="L191" s="65"/>
      <c r="M191" s="66"/>
    </row>
    <row r="192" spans="1:13" x14ac:dyDescent="0.4">
      <c r="A192" s="61">
        <v>95</v>
      </c>
      <c r="B192" s="62">
        <f t="shared" si="14"/>
        <v>94.9</v>
      </c>
      <c r="C192" s="62">
        <f t="shared" si="19"/>
        <v>85160.728313983927</v>
      </c>
      <c r="D192" s="62">
        <f t="shared" si="15"/>
        <v>16164.271686016073</v>
      </c>
      <c r="E192" s="62">
        <f t="shared" si="16"/>
        <v>3270.0751458642453</v>
      </c>
      <c r="G192" s="61">
        <v>95</v>
      </c>
      <c r="H192" s="62">
        <f t="shared" si="17"/>
        <v>8812.1873088157317</v>
      </c>
      <c r="I192" s="63">
        <f t="shared" si="20"/>
        <v>3.2700751458642454</v>
      </c>
      <c r="J192" s="64">
        <f t="shared" si="18"/>
        <v>6.5007624145315877</v>
      </c>
      <c r="K192" s="61">
        <v>95</v>
      </c>
      <c r="L192" s="65"/>
      <c r="M192" s="66"/>
    </row>
    <row r="193" spans="1:13" x14ac:dyDescent="0.4">
      <c r="A193" s="61">
        <v>95.5</v>
      </c>
      <c r="B193" s="62">
        <f t="shared" si="14"/>
        <v>95.4</v>
      </c>
      <c r="C193" s="62">
        <f t="shared" si="19"/>
        <v>86753.267357858975</v>
      </c>
      <c r="D193" s="62">
        <f t="shared" si="15"/>
        <v>14571.732642141025</v>
      </c>
      <c r="E193" s="62">
        <f t="shared" si="16"/>
        <v>3695.2953312982272</v>
      </c>
      <c r="G193" s="61">
        <v>95.5</v>
      </c>
      <c r="H193" s="62">
        <f t="shared" si="17"/>
        <v>9949.6303127199753</v>
      </c>
      <c r="I193" s="63">
        <f t="shared" si="20"/>
        <v>3.6952953312982273</v>
      </c>
      <c r="J193" s="64">
        <f t="shared" si="18"/>
        <v>7.2202388179151074</v>
      </c>
      <c r="K193" s="61">
        <v>95.5</v>
      </c>
      <c r="L193" s="65"/>
      <c r="M193" s="66"/>
    </row>
    <row r="194" spans="1:13" x14ac:dyDescent="0.4">
      <c r="A194" s="61">
        <v>96</v>
      </c>
      <c r="B194" s="62">
        <f t="shared" ref="B194:B257" si="21">A194-0.1</f>
        <v>95.9</v>
      </c>
      <c r="C194" s="62">
        <f t="shared" si="19"/>
        <v>88370.674965739425</v>
      </c>
      <c r="D194" s="62">
        <f t="shared" ref="D194:D202" si="22">$N$2-C194</f>
        <v>12954.325034260575</v>
      </c>
      <c r="E194" s="62">
        <f t="shared" ref="E194:E201" si="23">I194*1000</f>
        <v>4234.1660894545485</v>
      </c>
      <c r="G194" s="61">
        <v>96</v>
      </c>
      <c r="H194" s="62">
        <f t="shared" ref="H194:H201" si="24">(((1.005+(1.88*(E194/1000)))*A194)+(2487*(E194/1000)))</f>
        <v>11391.033360298219</v>
      </c>
      <c r="I194" s="63">
        <f t="shared" si="20"/>
        <v>4.2341660894545488</v>
      </c>
      <c r="J194" s="64">
        <f t="shared" ref="J194:J201" si="25">((22.41/273)*(A194+273))*((1/28.96)+((1/18.1)*I194))</f>
        <v>8.1318384942961579</v>
      </c>
      <c r="K194" s="61">
        <v>96</v>
      </c>
      <c r="L194" s="65"/>
      <c r="M194" s="66"/>
    </row>
    <row r="195" spans="1:13" x14ac:dyDescent="0.4">
      <c r="A195" s="61">
        <v>96.5</v>
      </c>
      <c r="B195" s="62">
        <f t="shared" si="21"/>
        <v>96.4</v>
      </c>
      <c r="C195" s="62">
        <f t="shared" si="19"/>
        <v>90013.255776390812</v>
      </c>
      <c r="D195" s="62">
        <f t="shared" si="22"/>
        <v>11311.744223609188</v>
      </c>
      <c r="E195" s="62">
        <f t="shared" si="23"/>
        <v>4939.1407358898014</v>
      </c>
      <c r="G195" s="61">
        <v>96.5</v>
      </c>
      <c r="H195" s="62">
        <f t="shared" si="24"/>
        <v>13276.684422463064</v>
      </c>
      <c r="I195" s="63">
        <f t="shared" si="20"/>
        <v>4.9391407358898016</v>
      </c>
      <c r="J195" s="64">
        <f t="shared" si="25"/>
        <v>9.3242344206649719</v>
      </c>
      <c r="K195" s="61">
        <v>96.5</v>
      </c>
      <c r="L195" s="65"/>
      <c r="M195" s="66"/>
    </row>
    <row r="196" spans="1:13" x14ac:dyDescent="0.4">
      <c r="A196" s="61">
        <v>97</v>
      </c>
      <c r="B196" s="62">
        <f t="shared" si="21"/>
        <v>96.9</v>
      </c>
      <c r="C196" s="62">
        <f>611.14*EXP(17.269*(((273.16+A196)-273.16)/((273.16+A196)-35.86)))</f>
        <v>91681.316977530849</v>
      </c>
      <c r="D196" s="62">
        <f t="shared" si="22"/>
        <v>9643.6830224691512</v>
      </c>
      <c r="E196" s="62">
        <f t="shared" si="23"/>
        <v>5900.8207640120445</v>
      </c>
      <c r="G196" s="61">
        <v>97</v>
      </c>
      <c r="H196" s="62">
        <f t="shared" si="24"/>
        <v>15848.899914623191</v>
      </c>
      <c r="I196" s="63">
        <f t="shared" ref="I196:I201" si="26">(18/29)*(C196/($N$2-C196))</f>
        <v>5.9008207640120443</v>
      </c>
      <c r="J196" s="64">
        <f t="shared" si="25"/>
        <v>10.950589526836797</v>
      </c>
      <c r="K196" s="61">
        <v>97</v>
      </c>
      <c r="L196" s="65"/>
      <c r="M196" s="66"/>
    </row>
    <row r="197" spans="1:13" x14ac:dyDescent="0.4">
      <c r="A197" s="61">
        <v>97.5</v>
      </c>
      <c r="B197" s="62">
        <f t="shared" si="21"/>
        <v>97.4</v>
      </c>
      <c r="C197" s="62">
        <f>611.14*EXP(17.269*(((273.16+A197)-273.16)/((273.16+A197)-35.86)))</f>
        <v>93375.168313947477</v>
      </c>
      <c r="D197" s="62">
        <f t="shared" si="22"/>
        <v>7949.8316860525229</v>
      </c>
      <c r="E197" s="62">
        <f t="shared" si="23"/>
        <v>7290.3431558346147</v>
      </c>
      <c r="G197" s="61">
        <v>97.5</v>
      </c>
      <c r="H197" s="62">
        <f t="shared" si="24"/>
        <v>19565.390829025171</v>
      </c>
      <c r="I197" s="63">
        <f t="shared" si="26"/>
        <v>7.2903431558346146</v>
      </c>
      <c r="J197" s="64">
        <f t="shared" si="25"/>
        <v>13.300212953128732</v>
      </c>
      <c r="K197" s="61">
        <v>97.5</v>
      </c>
      <c r="L197" s="65"/>
      <c r="M197" s="66"/>
    </row>
    <row r="198" spans="1:13" x14ac:dyDescent="0.4">
      <c r="A198" s="61">
        <v>98</v>
      </c>
      <c r="B198" s="62">
        <f t="shared" si="21"/>
        <v>97.9</v>
      </c>
      <c r="C198" s="62">
        <f>611.14*EXP(17.269*(((273.16+A198)-273.16)/((273.16+A198)-35.86)))</f>
        <v>95095.1220955303</v>
      </c>
      <c r="D198" s="62">
        <f t="shared" si="22"/>
        <v>6229.8779044697003</v>
      </c>
      <c r="E198" s="62">
        <f t="shared" si="23"/>
        <v>9474.4326369069622</v>
      </c>
      <c r="G198" s="61">
        <v>98</v>
      </c>
      <c r="H198" s="62">
        <f t="shared" si="24"/>
        <v>25406.973437011355</v>
      </c>
      <c r="I198" s="63">
        <f t="shared" si="26"/>
        <v>9.4744326369069629</v>
      </c>
      <c r="J198" s="64">
        <f t="shared" si="25"/>
        <v>16.99305726849909</v>
      </c>
      <c r="K198" s="61">
        <v>98</v>
      </c>
      <c r="L198" s="65"/>
      <c r="M198" s="66"/>
    </row>
    <row r="199" spans="1:13" x14ac:dyDescent="0.4">
      <c r="A199" s="61">
        <v>98.5</v>
      </c>
      <c r="B199" s="62">
        <f t="shared" si="21"/>
        <v>98.4</v>
      </c>
      <c r="C199" s="62">
        <f>611.14*EXP(17.269*(((273.16+A199)-273.16)/((273.16+A199)-35.86)))</f>
        <v>96841.493205214734</v>
      </c>
      <c r="D199" s="62">
        <f t="shared" si="22"/>
        <v>4483.5067947852658</v>
      </c>
      <c r="E199" s="62">
        <f t="shared" si="23"/>
        <v>13406.584572111758</v>
      </c>
      <c r="G199" s="61">
        <v>98.5</v>
      </c>
      <c r="H199" s="62">
        <f t="shared" si="24"/>
        <v>35923.799661905592</v>
      </c>
      <c r="I199" s="63">
        <f t="shared" si="26"/>
        <v>13.406584572111759</v>
      </c>
      <c r="J199" s="64">
        <f t="shared" si="25"/>
        <v>23.641017851976326</v>
      </c>
      <c r="K199" s="61">
        <v>98.5</v>
      </c>
      <c r="L199" s="65"/>
      <c r="M199" s="66"/>
    </row>
    <row r="200" spans="1:13" x14ac:dyDescent="0.4">
      <c r="A200" s="61">
        <v>99</v>
      </c>
      <c r="B200" s="62">
        <f t="shared" si="21"/>
        <v>98.9</v>
      </c>
      <c r="C200" s="62">
        <f>611.14*EXP(17.269*(((273.16+A200)-273.16)/((273.16+A200)-35.86)))</f>
        <v>98614.59910683721</v>
      </c>
      <c r="D200" s="62">
        <f t="shared" si="22"/>
        <v>2710.4008931627905</v>
      </c>
      <c r="E200" s="62">
        <f t="shared" si="23"/>
        <v>22583.028831267551</v>
      </c>
      <c r="G200" s="61">
        <v>99</v>
      </c>
      <c r="H200" s="62">
        <f t="shared" si="24"/>
        <v>60466.641029437917</v>
      </c>
      <c r="I200" s="63">
        <f t="shared" si="26"/>
        <v>22.583028831267551</v>
      </c>
      <c r="J200" s="64">
        <f t="shared" si="25"/>
        <v>39.154513288494641</v>
      </c>
      <c r="K200" s="61">
        <v>99</v>
      </c>
      <c r="L200" s="65"/>
      <c r="M200" s="66"/>
    </row>
    <row r="201" spans="1:13" x14ac:dyDescent="0.4">
      <c r="A201" s="61">
        <v>99.5</v>
      </c>
      <c r="B201" s="62">
        <f t="shared" si="21"/>
        <v>99.4</v>
      </c>
      <c r="C201" s="62">
        <f>610.472*EXP(17.269*(((273.16+A201)-273.16)/((273.16+A201)-35.86)))</f>
        <v>100305.00258029325</v>
      </c>
      <c r="D201" s="62">
        <f t="shared" si="22"/>
        <v>1019.9974197067495</v>
      </c>
      <c r="E201" s="62">
        <f t="shared" si="23"/>
        <v>61037.681332105356</v>
      </c>
      <c r="G201" s="61">
        <v>99.5</v>
      </c>
      <c r="H201" s="62">
        <f t="shared" si="24"/>
        <v>163318.41964292966</v>
      </c>
      <c r="I201" s="63">
        <f t="shared" si="26"/>
        <v>61.037681332105358</v>
      </c>
      <c r="J201" s="64">
        <f t="shared" si="25"/>
        <v>104.17159583976873</v>
      </c>
      <c r="K201" s="61">
        <v>99.5</v>
      </c>
      <c r="L201" s="65"/>
      <c r="M201" s="66"/>
    </row>
    <row r="202" spans="1:13" x14ac:dyDescent="0.4">
      <c r="A202" s="61">
        <v>100</v>
      </c>
      <c r="B202" s="62">
        <f t="shared" si="21"/>
        <v>99.9</v>
      </c>
      <c r="C202" s="62">
        <v>101419.04</v>
      </c>
      <c r="D202" s="62">
        <f t="shared" si="22"/>
        <v>-94.039999999993597</v>
      </c>
      <c r="G202" s="61">
        <v>100</v>
      </c>
      <c r="J202" s="64"/>
      <c r="K202" s="61">
        <v>100</v>
      </c>
      <c r="L202" s="65"/>
      <c r="M202" s="66"/>
    </row>
    <row r="203" spans="1:13" x14ac:dyDescent="0.4">
      <c r="A203" s="61">
        <v>100.5</v>
      </c>
      <c r="B203" s="62">
        <f t="shared" si="21"/>
        <v>100.4</v>
      </c>
      <c r="C203" s="62">
        <f t="shared" ref="C203:C266" si="27">((A203/100)^4)*100000</f>
        <v>102015.05006249994</v>
      </c>
      <c r="G203" s="61">
        <v>100.5</v>
      </c>
      <c r="K203" s="61">
        <v>100.5</v>
      </c>
      <c r="M203" s="66"/>
    </row>
    <row r="204" spans="1:13" x14ac:dyDescent="0.4">
      <c r="A204" s="61">
        <v>101</v>
      </c>
      <c r="B204" s="62">
        <f t="shared" si="21"/>
        <v>100.9</v>
      </c>
      <c r="C204" s="62">
        <f t="shared" si="27"/>
        <v>104060.401</v>
      </c>
      <c r="G204" s="61">
        <v>101</v>
      </c>
      <c r="K204" s="61">
        <v>101</v>
      </c>
      <c r="M204" s="66"/>
    </row>
    <row r="205" spans="1:13" x14ac:dyDescent="0.4">
      <c r="A205" s="61">
        <v>101.5</v>
      </c>
      <c r="B205" s="62">
        <f t="shared" si="21"/>
        <v>101.4</v>
      </c>
      <c r="C205" s="62">
        <f t="shared" si="27"/>
        <v>106136.35506249995</v>
      </c>
      <c r="G205" s="61">
        <v>101.5</v>
      </c>
      <c r="K205" s="61">
        <v>101.5</v>
      </c>
      <c r="M205" s="66"/>
    </row>
    <row r="206" spans="1:13" x14ac:dyDescent="0.4">
      <c r="A206" s="61">
        <v>102</v>
      </c>
      <c r="B206" s="62">
        <f t="shared" si="21"/>
        <v>101.9</v>
      </c>
      <c r="C206" s="62">
        <f t="shared" si="27"/>
        <v>108243.216</v>
      </c>
      <c r="G206" s="61">
        <v>102</v>
      </c>
      <c r="K206" s="61">
        <v>102</v>
      </c>
      <c r="M206" s="66"/>
    </row>
    <row r="207" spans="1:13" x14ac:dyDescent="0.4">
      <c r="A207" s="61">
        <v>102.5</v>
      </c>
      <c r="B207" s="62">
        <f t="shared" si="21"/>
        <v>102.4</v>
      </c>
      <c r="C207" s="62">
        <f t="shared" si="27"/>
        <v>110381.28906249997</v>
      </c>
      <c r="G207" s="61">
        <v>102.5</v>
      </c>
      <c r="K207" s="61">
        <v>102.5</v>
      </c>
      <c r="M207" s="66"/>
    </row>
    <row r="208" spans="1:13" x14ac:dyDescent="0.4">
      <c r="A208" s="61">
        <v>103</v>
      </c>
      <c r="B208" s="62">
        <f t="shared" si="21"/>
        <v>102.9</v>
      </c>
      <c r="C208" s="62">
        <f t="shared" si="27"/>
        <v>112550.88099999999</v>
      </c>
      <c r="G208" s="61">
        <v>103</v>
      </c>
      <c r="K208" s="61">
        <v>103</v>
      </c>
      <c r="M208" s="66"/>
    </row>
    <row r="209" spans="1:13" x14ac:dyDescent="0.4">
      <c r="A209" s="61">
        <v>103.5</v>
      </c>
      <c r="B209" s="62">
        <f t="shared" si="21"/>
        <v>103.4</v>
      </c>
      <c r="C209" s="62">
        <f t="shared" si="27"/>
        <v>114752.30006249997</v>
      </c>
      <c r="G209" s="61">
        <v>103.5</v>
      </c>
      <c r="K209" s="61">
        <v>103.5</v>
      </c>
      <c r="M209" s="66"/>
    </row>
    <row r="210" spans="1:13" x14ac:dyDescent="0.4">
      <c r="A210" s="61">
        <v>104</v>
      </c>
      <c r="B210" s="62">
        <f t="shared" si="21"/>
        <v>103.9</v>
      </c>
      <c r="C210" s="62">
        <f t="shared" si="27"/>
        <v>116985.85600000001</v>
      </c>
      <c r="G210" s="61">
        <v>104</v>
      </c>
      <c r="K210" s="61">
        <v>104</v>
      </c>
      <c r="M210" s="66"/>
    </row>
    <row r="211" spans="1:13" x14ac:dyDescent="0.4">
      <c r="A211" s="61">
        <v>104.5</v>
      </c>
      <c r="B211" s="62">
        <f t="shared" si="21"/>
        <v>104.4</v>
      </c>
      <c r="C211" s="62">
        <f t="shared" si="27"/>
        <v>119251.86006249995</v>
      </c>
      <c r="G211" s="61">
        <v>104.5</v>
      </c>
      <c r="K211" s="61">
        <v>104.5</v>
      </c>
      <c r="M211" s="66"/>
    </row>
    <row r="212" spans="1:13" x14ac:dyDescent="0.4">
      <c r="A212" s="61">
        <v>105</v>
      </c>
      <c r="B212" s="62">
        <f t="shared" si="21"/>
        <v>104.9</v>
      </c>
      <c r="C212" s="62">
        <f t="shared" si="27"/>
        <v>121550.625</v>
      </c>
      <c r="E212" s="62">
        <f>I212*1000</f>
        <v>75445.215517241377</v>
      </c>
      <c r="G212" s="61">
        <v>105</v>
      </c>
      <c r="I212" s="63">
        <f>(18/29)*(C212)/1000</f>
        <v>75.44521551724138</v>
      </c>
      <c r="J212" s="64">
        <f>((22.41/273)*(A212+273))*((1/29)+((1/18)*I212))</f>
        <v>131.12591807029179</v>
      </c>
      <c r="K212" s="61">
        <v>105</v>
      </c>
      <c r="L212" s="65"/>
      <c r="M212" s="66"/>
    </row>
    <row r="213" spans="1:13" x14ac:dyDescent="0.4">
      <c r="A213" s="61">
        <v>105.5</v>
      </c>
      <c r="B213" s="62">
        <f t="shared" si="21"/>
        <v>105.4</v>
      </c>
      <c r="C213" s="62">
        <f t="shared" si="27"/>
        <v>123882.46506249998</v>
      </c>
      <c r="G213" s="61">
        <v>105.5</v>
      </c>
      <c r="K213" s="61">
        <v>105.5</v>
      </c>
      <c r="M213" s="66"/>
    </row>
    <row r="214" spans="1:13" x14ac:dyDescent="0.4">
      <c r="A214" s="61">
        <v>106</v>
      </c>
      <c r="B214" s="62">
        <f t="shared" si="21"/>
        <v>105.9</v>
      </c>
      <c r="C214" s="62">
        <f t="shared" si="27"/>
        <v>126247.69600000003</v>
      </c>
      <c r="G214" s="61">
        <v>106</v>
      </c>
      <c r="K214" s="61">
        <v>106</v>
      </c>
      <c r="M214" s="66"/>
    </row>
    <row r="215" spans="1:13" x14ac:dyDescent="0.4">
      <c r="A215" s="61">
        <v>106.5</v>
      </c>
      <c r="B215" s="62">
        <f t="shared" si="21"/>
        <v>106.4</v>
      </c>
      <c r="C215" s="62">
        <f t="shared" si="27"/>
        <v>128646.63506249996</v>
      </c>
      <c r="G215" s="61">
        <v>106.5</v>
      </c>
      <c r="K215" s="61">
        <v>106.5</v>
      </c>
      <c r="M215" s="66"/>
    </row>
    <row r="216" spans="1:13" x14ac:dyDescent="0.4">
      <c r="A216" s="61">
        <v>107</v>
      </c>
      <c r="B216" s="62">
        <f t="shared" si="21"/>
        <v>106.9</v>
      </c>
      <c r="C216" s="62">
        <f t="shared" si="27"/>
        <v>131079.601</v>
      </c>
      <c r="G216" s="61">
        <v>107</v>
      </c>
      <c r="K216" s="61">
        <v>107</v>
      </c>
      <c r="M216" s="66"/>
    </row>
    <row r="217" spans="1:13" x14ac:dyDescent="0.4">
      <c r="A217" s="61">
        <v>107.5</v>
      </c>
      <c r="B217" s="62">
        <f t="shared" si="21"/>
        <v>107.4</v>
      </c>
      <c r="C217" s="62">
        <f t="shared" si="27"/>
        <v>133546.9140625</v>
      </c>
      <c r="G217" s="61">
        <v>107.5</v>
      </c>
      <c r="K217" s="61">
        <v>107.5</v>
      </c>
      <c r="M217" s="66"/>
    </row>
    <row r="218" spans="1:13" x14ac:dyDescent="0.4">
      <c r="A218" s="61">
        <v>108</v>
      </c>
      <c r="B218" s="62">
        <f t="shared" si="21"/>
        <v>107.9</v>
      </c>
      <c r="C218" s="62">
        <f t="shared" si="27"/>
        <v>136048.89600000004</v>
      </c>
      <c r="G218" s="61">
        <v>108</v>
      </c>
      <c r="K218" s="61">
        <v>108</v>
      </c>
      <c r="M218" s="66"/>
    </row>
    <row r="219" spans="1:13" x14ac:dyDescent="0.4">
      <c r="A219" s="61">
        <v>108.5</v>
      </c>
      <c r="B219" s="62">
        <f t="shared" si="21"/>
        <v>108.4</v>
      </c>
      <c r="C219" s="62">
        <f t="shared" si="27"/>
        <v>138585.87006249998</v>
      </c>
      <c r="G219" s="61">
        <v>108.5</v>
      </c>
      <c r="K219" s="61">
        <v>108.5</v>
      </c>
      <c r="M219" s="66"/>
    </row>
    <row r="220" spans="1:13" x14ac:dyDescent="0.4">
      <c r="A220" s="61">
        <v>109</v>
      </c>
      <c r="B220" s="62">
        <f t="shared" si="21"/>
        <v>108.9</v>
      </c>
      <c r="C220" s="62">
        <f t="shared" si="27"/>
        <v>141158.16100000002</v>
      </c>
      <c r="G220" s="61">
        <v>109</v>
      </c>
      <c r="K220" s="61">
        <v>109</v>
      </c>
      <c r="M220" s="66"/>
    </row>
    <row r="221" spans="1:13" x14ac:dyDescent="0.4">
      <c r="A221" s="61">
        <v>109.5</v>
      </c>
      <c r="B221" s="62">
        <f t="shared" si="21"/>
        <v>109.4</v>
      </c>
      <c r="C221" s="62">
        <f t="shared" si="27"/>
        <v>143766.09506250001</v>
      </c>
      <c r="G221" s="61">
        <v>109.5</v>
      </c>
      <c r="K221" s="61">
        <v>109.5</v>
      </c>
      <c r="M221" s="66"/>
    </row>
    <row r="222" spans="1:13" x14ac:dyDescent="0.4">
      <c r="A222" s="61">
        <v>110</v>
      </c>
      <c r="B222" s="62">
        <f t="shared" si="21"/>
        <v>109.9</v>
      </c>
      <c r="C222" s="62">
        <f t="shared" si="27"/>
        <v>146410.00000000003</v>
      </c>
      <c r="E222" s="62">
        <f>I222*1000</f>
        <v>90875.172413793131</v>
      </c>
      <c r="G222" s="61">
        <v>110</v>
      </c>
      <c r="I222" s="63">
        <f>(18/29)*(C222)/1000</f>
        <v>90.875172413793138</v>
      </c>
      <c r="J222" s="64">
        <f>((22.41/273)*(A222+273))*((1/29)+((1/18)*I222))</f>
        <v>159.81109666540362</v>
      </c>
      <c r="K222" s="61">
        <v>110</v>
      </c>
      <c r="M222" s="66"/>
    </row>
    <row r="223" spans="1:13" x14ac:dyDescent="0.4">
      <c r="A223" s="61">
        <v>110.5</v>
      </c>
      <c r="B223" s="62">
        <f t="shared" si="21"/>
        <v>110.4</v>
      </c>
      <c r="C223" s="62">
        <f t="shared" si="27"/>
        <v>149090.20506250003</v>
      </c>
      <c r="G223" s="61">
        <v>110.5</v>
      </c>
      <c r="K223" s="61">
        <v>110.5</v>
      </c>
      <c r="M223" s="66"/>
    </row>
    <row r="224" spans="1:13" x14ac:dyDescent="0.4">
      <c r="A224" s="61">
        <v>111</v>
      </c>
      <c r="B224" s="62">
        <f t="shared" si="21"/>
        <v>110.9</v>
      </c>
      <c r="C224" s="62">
        <f t="shared" si="27"/>
        <v>151807.04100000006</v>
      </c>
      <c r="G224" s="61">
        <v>111</v>
      </c>
      <c r="K224" s="61">
        <v>111</v>
      </c>
      <c r="M224" s="66"/>
    </row>
    <row r="225" spans="1:13" x14ac:dyDescent="0.4">
      <c r="A225" s="61">
        <v>111.5</v>
      </c>
      <c r="B225" s="62">
        <f t="shared" si="21"/>
        <v>111.4</v>
      </c>
      <c r="C225" s="62">
        <f t="shared" si="27"/>
        <v>154560.84006250001</v>
      </c>
      <c r="G225" s="61">
        <v>111.5</v>
      </c>
      <c r="K225" s="61">
        <v>111.5</v>
      </c>
      <c r="M225" s="66"/>
    </row>
    <row r="226" spans="1:13" x14ac:dyDescent="0.4">
      <c r="A226" s="61">
        <v>112</v>
      </c>
      <c r="B226" s="62">
        <f t="shared" si="21"/>
        <v>111.9</v>
      </c>
      <c r="C226" s="62">
        <f t="shared" si="27"/>
        <v>157351.93600000005</v>
      </c>
      <c r="G226" s="61">
        <v>112</v>
      </c>
      <c r="K226" s="61">
        <v>112</v>
      </c>
      <c r="M226" s="66"/>
    </row>
    <row r="227" spans="1:13" x14ac:dyDescent="0.4">
      <c r="A227" s="61">
        <v>112.5</v>
      </c>
      <c r="B227" s="62">
        <f t="shared" si="21"/>
        <v>112.4</v>
      </c>
      <c r="C227" s="62">
        <f t="shared" si="27"/>
        <v>160180.6640625</v>
      </c>
      <c r="G227" s="61">
        <v>112.5</v>
      </c>
      <c r="K227" s="61">
        <v>112.5</v>
      </c>
      <c r="M227" s="66"/>
    </row>
    <row r="228" spans="1:13" x14ac:dyDescent="0.4">
      <c r="A228" s="61">
        <v>113</v>
      </c>
      <c r="B228" s="62">
        <f t="shared" si="21"/>
        <v>112.9</v>
      </c>
      <c r="C228" s="62">
        <f t="shared" si="27"/>
        <v>163047.36099999992</v>
      </c>
      <c r="G228" s="61">
        <v>113</v>
      </c>
      <c r="K228" s="61">
        <v>113</v>
      </c>
      <c r="M228" s="66"/>
    </row>
    <row r="229" spans="1:13" x14ac:dyDescent="0.4">
      <c r="A229" s="61">
        <v>113.5</v>
      </c>
      <c r="B229" s="62">
        <f t="shared" si="21"/>
        <v>113.4</v>
      </c>
      <c r="C229" s="62">
        <f t="shared" si="27"/>
        <v>165952.3650625</v>
      </c>
      <c r="G229" s="61">
        <v>113.5</v>
      </c>
      <c r="K229" s="61">
        <v>113.5</v>
      </c>
      <c r="M229" s="66"/>
    </row>
    <row r="230" spans="1:13" x14ac:dyDescent="0.4">
      <c r="A230" s="61">
        <v>114</v>
      </c>
      <c r="B230" s="62">
        <f t="shared" si="21"/>
        <v>113.9</v>
      </c>
      <c r="C230" s="62">
        <f t="shared" si="27"/>
        <v>168896.01599999997</v>
      </c>
      <c r="G230" s="61">
        <v>114</v>
      </c>
      <c r="K230" s="61">
        <v>114</v>
      </c>
      <c r="M230" s="66"/>
    </row>
    <row r="231" spans="1:13" x14ac:dyDescent="0.4">
      <c r="A231" s="61">
        <v>114.5</v>
      </c>
      <c r="B231" s="62">
        <f t="shared" si="21"/>
        <v>114.4</v>
      </c>
      <c r="C231" s="62">
        <f t="shared" si="27"/>
        <v>171878.65506250001</v>
      </c>
      <c r="G231" s="61">
        <v>114.5</v>
      </c>
      <c r="K231" s="61">
        <v>114.5</v>
      </c>
      <c r="M231" s="66"/>
    </row>
    <row r="232" spans="1:13" x14ac:dyDescent="0.4">
      <c r="A232" s="61">
        <v>115</v>
      </c>
      <c r="B232" s="62">
        <f t="shared" si="21"/>
        <v>114.9</v>
      </c>
      <c r="C232" s="62">
        <f t="shared" si="27"/>
        <v>174900.62499999994</v>
      </c>
      <c r="E232" s="62">
        <f>I232*1000</f>
        <v>108559.00862068962</v>
      </c>
      <c r="G232" s="61">
        <v>115</v>
      </c>
      <c r="I232" s="63">
        <f>(18/29)*(C232)/1000</f>
        <v>108.55900862068962</v>
      </c>
      <c r="J232" s="64">
        <f>((22.41/273)*(A232+273))*((1/29)+((1/18)*I232))</f>
        <v>193.18807710306928</v>
      </c>
      <c r="K232" s="61">
        <v>115</v>
      </c>
      <c r="M232" s="66"/>
    </row>
    <row r="233" spans="1:13" x14ac:dyDescent="0.4">
      <c r="A233" s="61">
        <v>115.5</v>
      </c>
      <c r="B233" s="62">
        <f t="shared" si="21"/>
        <v>115.4</v>
      </c>
      <c r="C233" s="62">
        <f t="shared" si="27"/>
        <v>177962.2700625</v>
      </c>
      <c r="G233" s="61">
        <v>115.5</v>
      </c>
      <c r="K233" s="61">
        <v>115.5</v>
      </c>
      <c r="M233" s="66"/>
    </row>
    <row r="234" spans="1:13" x14ac:dyDescent="0.4">
      <c r="A234" s="61">
        <v>116</v>
      </c>
      <c r="B234" s="62">
        <f t="shared" si="21"/>
        <v>115.9</v>
      </c>
      <c r="C234" s="62">
        <f t="shared" si="27"/>
        <v>181063.93599999996</v>
      </c>
      <c r="G234" s="61">
        <v>116</v>
      </c>
      <c r="K234" s="61">
        <v>116</v>
      </c>
      <c r="M234" s="66"/>
    </row>
    <row r="235" spans="1:13" x14ac:dyDescent="0.4">
      <c r="A235" s="61">
        <v>116.5</v>
      </c>
      <c r="B235" s="62">
        <f t="shared" si="21"/>
        <v>116.4</v>
      </c>
      <c r="C235" s="62">
        <f t="shared" si="27"/>
        <v>184205.97006250004</v>
      </c>
      <c r="G235" s="61">
        <v>116.5</v>
      </c>
      <c r="K235" s="61">
        <v>116.5</v>
      </c>
      <c r="M235" s="66"/>
    </row>
    <row r="236" spans="1:13" x14ac:dyDescent="0.4">
      <c r="A236" s="61">
        <v>117</v>
      </c>
      <c r="B236" s="62">
        <f t="shared" si="21"/>
        <v>116.9</v>
      </c>
      <c r="C236" s="62">
        <f t="shared" si="27"/>
        <v>187388.72099999996</v>
      </c>
      <c r="G236" s="61">
        <v>117</v>
      </c>
      <c r="K236" s="61">
        <v>117</v>
      </c>
      <c r="M236" s="66"/>
    </row>
    <row r="237" spans="1:13" x14ac:dyDescent="0.4">
      <c r="A237" s="61">
        <v>117.5</v>
      </c>
      <c r="B237" s="62">
        <f t="shared" si="21"/>
        <v>117.4</v>
      </c>
      <c r="C237" s="62">
        <f t="shared" si="27"/>
        <v>190612.53906250006</v>
      </c>
      <c r="G237" s="61">
        <v>117.5</v>
      </c>
      <c r="K237" s="61">
        <v>117.5</v>
      </c>
      <c r="M237" s="66"/>
    </row>
    <row r="238" spans="1:13" x14ac:dyDescent="0.4">
      <c r="A238" s="61">
        <v>118</v>
      </c>
      <c r="B238" s="62">
        <f t="shared" si="21"/>
        <v>117.9</v>
      </c>
      <c r="C238" s="62">
        <f t="shared" si="27"/>
        <v>193877.77599999995</v>
      </c>
      <c r="G238" s="61">
        <v>118</v>
      </c>
      <c r="K238" s="61">
        <v>118</v>
      </c>
      <c r="M238" s="66"/>
    </row>
    <row r="239" spans="1:13" x14ac:dyDescent="0.4">
      <c r="A239" s="61">
        <v>118.5</v>
      </c>
      <c r="B239" s="62">
        <f t="shared" si="21"/>
        <v>118.4</v>
      </c>
      <c r="C239" s="62">
        <f t="shared" si="27"/>
        <v>197184.78506250001</v>
      </c>
      <c r="G239" s="61">
        <v>118.5</v>
      </c>
      <c r="K239" s="61">
        <v>118.5</v>
      </c>
      <c r="M239" s="66"/>
    </row>
    <row r="240" spans="1:13" x14ac:dyDescent="0.4">
      <c r="A240" s="61">
        <v>119</v>
      </c>
      <c r="B240" s="62">
        <f t="shared" si="21"/>
        <v>118.9</v>
      </c>
      <c r="C240" s="62">
        <f t="shared" si="27"/>
        <v>200533.92099999997</v>
      </c>
      <c r="G240" s="61">
        <v>119</v>
      </c>
      <c r="K240" s="61">
        <v>119</v>
      </c>
      <c r="M240" s="66"/>
    </row>
    <row r="241" spans="1:13" x14ac:dyDescent="0.4">
      <c r="A241" s="61">
        <v>119.5</v>
      </c>
      <c r="B241" s="62">
        <f t="shared" si="21"/>
        <v>119.4</v>
      </c>
      <c r="C241" s="62">
        <f t="shared" si="27"/>
        <v>203925.54006250002</v>
      </c>
      <c r="G241" s="61">
        <v>119.5</v>
      </c>
      <c r="K241" s="61">
        <v>119.5</v>
      </c>
      <c r="M241" s="66"/>
    </row>
    <row r="242" spans="1:13" x14ac:dyDescent="0.4">
      <c r="A242" s="61">
        <v>120</v>
      </c>
      <c r="B242" s="62">
        <f t="shared" si="21"/>
        <v>119.9</v>
      </c>
      <c r="C242" s="62">
        <f t="shared" si="27"/>
        <v>207360</v>
      </c>
      <c r="E242" s="62">
        <f>I242*1000</f>
        <v>128706.20689655172</v>
      </c>
      <c r="G242" s="61">
        <v>120</v>
      </c>
      <c r="I242" s="63">
        <f>(18/29)*(C242)/1000</f>
        <v>128.70620689655172</v>
      </c>
      <c r="J242" s="64">
        <f>((22.41/273)*(A242+273))*((1/29)+((1/18)*I242))</f>
        <v>231.78648563849944</v>
      </c>
      <c r="K242" s="61">
        <v>120</v>
      </c>
      <c r="M242" s="66"/>
    </row>
    <row r="243" spans="1:13" x14ac:dyDescent="0.4">
      <c r="A243" s="61">
        <v>120.5</v>
      </c>
      <c r="B243" s="62">
        <f t="shared" si="21"/>
        <v>120.4</v>
      </c>
      <c r="C243" s="62">
        <f t="shared" si="27"/>
        <v>210837.66006250001</v>
      </c>
      <c r="G243" s="61">
        <v>120.5</v>
      </c>
      <c r="K243" s="61">
        <v>120.5</v>
      </c>
      <c r="M243" s="66"/>
    </row>
    <row r="244" spans="1:13" x14ac:dyDescent="0.4">
      <c r="A244" s="61">
        <v>121</v>
      </c>
      <c r="B244" s="62">
        <f t="shared" si="21"/>
        <v>120.9</v>
      </c>
      <c r="C244" s="62">
        <f t="shared" si="27"/>
        <v>214358.88099999996</v>
      </c>
      <c r="G244" s="61">
        <v>121</v>
      </c>
      <c r="K244" s="61">
        <v>121</v>
      </c>
      <c r="M244" s="66"/>
    </row>
    <row r="245" spans="1:13" x14ac:dyDescent="0.4">
      <c r="A245" s="61">
        <v>121.5</v>
      </c>
      <c r="B245" s="62">
        <f t="shared" si="21"/>
        <v>121.4</v>
      </c>
      <c r="C245" s="62">
        <f t="shared" si="27"/>
        <v>217924.02506250003</v>
      </c>
      <c r="G245" s="61">
        <v>121.5</v>
      </c>
      <c r="K245" s="61">
        <v>121.5</v>
      </c>
      <c r="M245" s="66"/>
    </row>
    <row r="246" spans="1:13" x14ac:dyDescent="0.4">
      <c r="A246" s="61">
        <v>122</v>
      </c>
      <c r="B246" s="62">
        <f t="shared" si="21"/>
        <v>121.9</v>
      </c>
      <c r="C246" s="62">
        <f t="shared" si="27"/>
        <v>221533.45599999998</v>
      </c>
      <c r="G246" s="61">
        <v>122</v>
      </c>
      <c r="K246" s="61">
        <v>122</v>
      </c>
      <c r="M246" s="66"/>
    </row>
    <row r="247" spans="1:13" x14ac:dyDescent="0.4">
      <c r="A247" s="61">
        <v>122.5</v>
      </c>
      <c r="B247" s="62">
        <f t="shared" si="21"/>
        <v>122.4</v>
      </c>
      <c r="C247" s="62">
        <f t="shared" si="27"/>
        <v>225187.53906250009</v>
      </c>
      <c r="G247" s="61">
        <v>122.5</v>
      </c>
      <c r="K247" s="61">
        <v>122.5</v>
      </c>
      <c r="M247" s="66"/>
    </row>
    <row r="248" spans="1:13" x14ac:dyDescent="0.4">
      <c r="A248" s="61">
        <v>123</v>
      </c>
      <c r="B248" s="62">
        <f t="shared" si="21"/>
        <v>122.9</v>
      </c>
      <c r="C248" s="62">
        <f t="shared" si="27"/>
        <v>228886.64099999997</v>
      </c>
      <c r="G248" s="61">
        <v>123</v>
      </c>
      <c r="K248" s="61">
        <v>123</v>
      </c>
      <c r="M248" s="66"/>
    </row>
    <row r="249" spans="1:13" x14ac:dyDescent="0.4">
      <c r="A249" s="61">
        <v>123.5</v>
      </c>
      <c r="B249" s="62">
        <f t="shared" si="21"/>
        <v>123.4</v>
      </c>
      <c r="C249" s="62">
        <f t="shared" si="27"/>
        <v>232631.1300625001</v>
      </c>
      <c r="G249" s="61">
        <v>123.5</v>
      </c>
      <c r="K249" s="61">
        <v>123.5</v>
      </c>
      <c r="M249" s="66"/>
    </row>
    <row r="250" spans="1:13" x14ac:dyDescent="0.4">
      <c r="A250" s="61">
        <v>124</v>
      </c>
      <c r="B250" s="62">
        <f t="shared" si="21"/>
        <v>123.9</v>
      </c>
      <c r="C250" s="62">
        <f t="shared" si="27"/>
        <v>236421.37600000002</v>
      </c>
      <c r="G250" s="61">
        <v>124</v>
      </c>
      <c r="K250" s="61">
        <v>124</v>
      </c>
      <c r="M250" s="66"/>
    </row>
    <row r="251" spans="1:13" x14ac:dyDescent="0.4">
      <c r="A251" s="61">
        <v>124.5</v>
      </c>
      <c r="B251" s="62">
        <f t="shared" si="21"/>
        <v>124.4</v>
      </c>
      <c r="C251" s="62">
        <f t="shared" si="27"/>
        <v>240257.75006250004</v>
      </c>
      <c r="G251" s="61">
        <v>124.5</v>
      </c>
      <c r="K251" s="61">
        <v>124.5</v>
      </c>
      <c r="M251" s="66"/>
    </row>
    <row r="252" spans="1:13" x14ac:dyDescent="0.4">
      <c r="A252" s="61">
        <v>125</v>
      </c>
      <c r="B252" s="62">
        <f t="shared" si="21"/>
        <v>124.9</v>
      </c>
      <c r="C252" s="62">
        <f t="shared" si="27"/>
        <v>244140.625</v>
      </c>
      <c r="G252" s="61">
        <v>125</v>
      </c>
      <c r="K252" s="61">
        <v>125</v>
      </c>
      <c r="M252" s="66"/>
    </row>
    <row r="253" spans="1:13" x14ac:dyDescent="0.4">
      <c r="A253" s="61">
        <v>125.5</v>
      </c>
      <c r="B253" s="62">
        <f t="shared" si="21"/>
        <v>125.4</v>
      </c>
      <c r="C253" s="62">
        <f t="shared" si="27"/>
        <v>248070.37506249992</v>
      </c>
      <c r="G253" s="61">
        <v>125.5</v>
      </c>
      <c r="K253" s="61">
        <v>125.5</v>
      </c>
      <c r="M253" s="66"/>
    </row>
    <row r="254" spans="1:13" x14ac:dyDescent="0.4">
      <c r="A254" s="61">
        <v>126</v>
      </c>
      <c r="B254" s="62">
        <f t="shared" si="21"/>
        <v>125.9</v>
      </c>
      <c r="C254" s="62">
        <f t="shared" si="27"/>
        <v>252047.37600000002</v>
      </c>
      <c r="G254" s="61">
        <v>126</v>
      </c>
      <c r="K254" s="61">
        <v>126</v>
      </c>
      <c r="M254" s="66"/>
    </row>
    <row r="255" spans="1:13" x14ac:dyDescent="0.4">
      <c r="A255" s="61">
        <v>126.5</v>
      </c>
      <c r="B255" s="62">
        <f t="shared" si="21"/>
        <v>126.4</v>
      </c>
      <c r="C255" s="62">
        <f t="shared" si="27"/>
        <v>256072.00506249993</v>
      </c>
      <c r="G255" s="61">
        <v>126.5</v>
      </c>
      <c r="K255" s="61">
        <v>126.5</v>
      </c>
      <c r="M255" s="66"/>
    </row>
    <row r="256" spans="1:13" x14ac:dyDescent="0.4">
      <c r="A256" s="61">
        <v>127</v>
      </c>
      <c r="B256" s="62">
        <f t="shared" si="21"/>
        <v>126.9</v>
      </c>
      <c r="C256" s="62">
        <f t="shared" si="27"/>
        <v>260144.64099999997</v>
      </c>
      <c r="G256" s="61">
        <v>127</v>
      </c>
      <c r="K256" s="61">
        <v>127</v>
      </c>
      <c r="M256" s="66"/>
    </row>
    <row r="257" spans="1:13" x14ac:dyDescent="0.4">
      <c r="A257" s="61">
        <v>127.5</v>
      </c>
      <c r="B257" s="62">
        <f t="shared" si="21"/>
        <v>127.4</v>
      </c>
      <c r="C257" s="62">
        <f t="shared" si="27"/>
        <v>264265.66406249994</v>
      </c>
      <c r="G257" s="61">
        <v>127.5</v>
      </c>
      <c r="K257" s="61">
        <v>127.5</v>
      </c>
      <c r="M257" s="66"/>
    </row>
    <row r="258" spans="1:13" x14ac:dyDescent="0.4">
      <c r="A258" s="61">
        <v>128</v>
      </c>
      <c r="B258" s="62">
        <f t="shared" ref="B258:B321" si="28">A258-0.1</f>
        <v>127.9</v>
      </c>
      <c r="C258" s="62">
        <f t="shared" si="27"/>
        <v>268435.45600000001</v>
      </c>
      <c r="G258" s="61">
        <v>128</v>
      </c>
      <c r="K258" s="61">
        <v>128</v>
      </c>
      <c r="M258" s="66"/>
    </row>
    <row r="259" spans="1:13" x14ac:dyDescent="0.4">
      <c r="A259" s="61">
        <v>128.5</v>
      </c>
      <c r="B259" s="62">
        <f t="shared" si="28"/>
        <v>128.4</v>
      </c>
      <c r="C259" s="62">
        <f t="shared" si="27"/>
        <v>272654.40006249992</v>
      </c>
      <c r="G259" s="61">
        <v>128.5</v>
      </c>
      <c r="K259" s="61">
        <v>128.5</v>
      </c>
      <c r="M259" s="66"/>
    </row>
    <row r="260" spans="1:13" x14ac:dyDescent="0.4">
      <c r="A260" s="61">
        <v>129</v>
      </c>
      <c r="B260" s="62">
        <f t="shared" si="28"/>
        <v>128.9</v>
      </c>
      <c r="C260" s="62">
        <f t="shared" si="27"/>
        <v>276922.88100000005</v>
      </c>
      <c r="G260" s="61">
        <v>129</v>
      </c>
      <c r="K260" s="61">
        <v>129</v>
      </c>
      <c r="M260" s="66"/>
    </row>
    <row r="261" spans="1:13" x14ac:dyDescent="0.4">
      <c r="A261" s="61">
        <v>129.5</v>
      </c>
      <c r="B261" s="62">
        <f t="shared" si="28"/>
        <v>129.4</v>
      </c>
      <c r="C261" s="62">
        <f t="shared" si="27"/>
        <v>281241.28506249993</v>
      </c>
      <c r="G261" s="61">
        <v>129.5</v>
      </c>
      <c r="K261" s="61">
        <v>129.5</v>
      </c>
      <c r="M261" s="66"/>
    </row>
    <row r="262" spans="1:13" x14ac:dyDescent="0.4">
      <c r="A262" s="61">
        <v>130</v>
      </c>
      <c r="B262" s="62">
        <f t="shared" si="28"/>
        <v>129.9</v>
      </c>
      <c r="C262" s="62">
        <f t="shared" si="27"/>
        <v>285610.00000000006</v>
      </c>
      <c r="E262" s="62">
        <f>I262*1000</f>
        <v>177275.17241379313</v>
      </c>
      <c r="G262" s="61">
        <v>130</v>
      </c>
      <c r="I262" s="63">
        <f>(18/29)*(C262)/1000</f>
        <v>177.27517241379314</v>
      </c>
      <c r="J262" s="64">
        <f>((22.41/273)*(A262+273))*((1/29)+((1/18)*I262))</f>
        <v>326.94718078817743</v>
      </c>
      <c r="K262" s="61">
        <v>130</v>
      </c>
      <c r="M262" s="66"/>
    </row>
    <row r="263" spans="1:13" x14ac:dyDescent="0.4">
      <c r="A263" s="61">
        <v>130.5</v>
      </c>
      <c r="B263" s="62">
        <f t="shared" si="28"/>
        <v>130.4</v>
      </c>
      <c r="C263" s="62">
        <f t="shared" si="27"/>
        <v>290029.41506249993</v>
      </c>
      <c r="G263" s="61">
        <v>130.5</v>
      </c>
      <c r="K263" s="61">
        <v>130.5</v>
      </c>
      <c r="M263" s="66"/>
    </row>
    <row r="264" spans="1:13" x14ac:dyDescent="0.4">
      <c r="A264" s="61">
        <v>131</v>
      </c>
      <c r="B264" s="62">
        <f t="shared" si="28"/>
        <v>130.9</v>
      </c>
      <c r="C264" s="62">
        <f t="shared" si="27"/>
        <v>294499.92100000009</v>
      </c>
      <c r="G264" s="61">
        <v>131</v>
      </c>
      <c r="K264" s="61">
        <v>131</v>
      </c>
      <c r="M264" s="66"/>
    </row>
    <row r="265" spans="1:13" x14ac:dyDescent="0.4">
      <c r="A265" s="61">
        <v>131.5</v>
      </c>
      <c r="B265" s="62">
        <f t="shared" si="28"/>
        <v>131.4</v>
      </c>
      <c r="C265" s="62">
        <f t="shared" si="27"/>
        <v>299021.91006249993</v>
      </c>
      <c r="G265" s="61">
        <v>131.5</v>
      </c>
      <c r="K265" s="61">
        <v>131.5</v>
      </c>
      <c r="M265" s="66"/>
    </row>
    <row r="266" spans="1:13" x14ac:dyDescent="0.4">
      <c r="A266" s="61">
        <v>132</v>
      </c>
      <c r="B266" s="62">
        <f t="shared" si="28"/>
        <v>131.9</v>
      </c>
      <c r="C266" s="62">
        <f t="shared" si="27"/>
        <v>303595.77600000007</v>
      </c>
      <c r="G266" s="61">
        <v>132</v>
      </c>
      <c r="K266" s="61">
        <v>132</v>
      </c>
      <c r="M266" s="66"/>
    </row>
    <row r="267" spans="1:13" x14ac:dyDescent="0.4">
      <c r="A267" s="61">
        <v>132.5</v>
      </c>
      <c r="B267" s="62">
        <f t="shared" si="28"/>
        <v>132.4</v>
      </c>
      <c r="C267" s="62">
        <f t="shared" ref="C267:C330" si="29">((A267/100)^4)*100000</f>
        <v>308221.9140625</v>
      </c>
      <c r="G267" s="61">
        <v>132.5</v>
      </c>
      <c r="K267" s="61">
        <v>132.5</v>
      </c>
      <c r="M267" s="66"/>
    </row>
    <row r="268" spans="1:13" x14ac:dyDescent="0.4">
      <c r="A268" s="61">
        <v>133</v>
      </c>
      <c r="B268" s="62">
        <f t="shared" si="28"/>
        <v>132.9</v>
      </c>
      <c r="C268" s="62">
        <f t="shared" si="29"/>
        <v>312900.72100000008</v>
      </c>
      <c r="G268" s="61">
        <v>133</v>
      </c>
      <c r="K268" s="61">
        <v>133</v>
      </c>
      <c r="M268" s="66"/>
    </row>
    <row r="269" spans="1:13" x14ac:dyDescent="0.4">
      <c r="A269" s="61">
        <v>133.5</v>
      </c>
      <c r="B269" s="62">
        <f t="shared" si="28"/>
        <v>133.4</v>
      </c>
      <c r="C269" s="62">
        <f t="shared" si="29"/>
        <v>317632.59506249998</v>
      </c>
      <c r="G269" s="61">
        <v>133.5</v>
      </c>
      <c r="K269" s="61">
        <v>133.5</v>
      </c>
      <c r="M269" s="66"/>
    </row>
    <row r="270" spans="1:13" x14ac:dyDescent="0.4">
      <c r="A270" s="61">
        <v>134</v>
      </c>
      <c r="B270" s="62">
        <f t="shared" si="28"/>
        <v>133.9</v>
      </c>
      <c r="C270" s="62">
        <f t="shared" si="29"/>
        <v>322417.9360000001</v>
      </c>
      <c r="G270" s="61">
        <v>134</v>
      </c>
      <c r="K270" s="61">
        <v>134</v>
      </c>
      <c r="M270" s="66"/>
    </row>
    <row r="271" spans="1:13" x14ac:dyDescent="0.4">
      <c r="A271" s="61">
        <v>134.5</v>
      </c>
      <c r="B271" s="62">
        <f t="shared" si="28"/>
        <v>134.4</v>
      </c>
      <c r="C271" s="62">
        <f t="shared" si="29"/>
        <v>327257.14506249997</v>
      </c>
      <c r="G271" s="61">
        <v>134.5</v>
      </c>
      <c r="K271" s="61">
        <v>134.5</v>
      </c>
      <c r="M271" s="66"/>
    </row>
    <row r="272" spans="1:13" x14ac:dyDescent="0.4">
      <c r="A272" s="61">
        <v>135</v>
      </c>
      <c r="B272" s="62">
        <f t="shared" si="28"/>
        <v>134.9</v>
      </c>
      <c r="C272" s="62">
        <f t="shared" si="29"/>
        <v>332150.62500000012</v>
      </c>
      <c r="G272" s="61">
        <v>135</v>
      </c>
      <c r="K272" s="61">
        <v>135</v>
      </c>
      <c r="M272" s="66"/>
    </row>
    <row r="273" spans="1:13" x14ac:dyDescent="0.4">
      <c r="A273" s="61">
        <v>135.5</v>
      </c>
      <c r="B273" s="62">
        <f t="shared" si="28"/>
        <v>135.4</v>
      </c>
      <c r="C273" s="62">
        <f t="shared" si="29"/>
        <v>337098.78006249998</v>
      </c>
      <c r="G273" s="61">
        <v>135.5</v>
      </c>
      <c r="K273" s="61">
        <v>135.5</v>
      </c>
      <c r="M273" s="66"/>
    </row>
    <row r="274" spans="1:13" x14ac:dyDescent="0.4">
      <c r="A274" s="61">
        <v>136</v>
      </c>
      <c r="B274" s="62">
        <f t="shared" si="28"/>
        <v>135.9</v>
      </c>
      <c r="C274" s="62">
        <f t="shared" si="29"/>
        <v>342102.01600000012</v>
      </c>
      <c r="G274" s="61">
        <v>136</v>
      </c>
      <c r="K274" s="61">
        <v>136</v>
      </c>
      <c r="M274" s="66"/>
    </row>
    <row r="275" spans="1:13" x14ac:dyDescent="0.4">
      <c r="A275" s="61">
        <v>136.5</v>
      </c>
      <c r="B275" s="62">
        <f t="shared" si="28"/>
        <v>136.4</v>
      </c>
      <c r="C275" s="62">
        <f t="shared" si="29"/>
        <v>347160.74006249994</v>
      </c>
      <c r="G275" s="61">
        <v>136.5</v>
      </c>
      <c r="K275" s="61">
        <v>136.5</v>
      </c>
      <c r="M275" s="66"/>
    </row>
    <row r="276" spans="1:13" x14ac:dyDescent="0.4">
      <c r="A276" s="61">
        <v>137</v>
      </c>
      <c r="B276" s="62">
        <f t="shared" si="28"/>
        <v>136.9</v>
      </c>
      <c r="C276" s="62">
        <f t="shared" si="29"/>
        <v>352275.36100000009</v>
      </c>
      <c r="G276" s="61">
        <v>137</v>
      </c>
      <c r="K276" s="61">
        <v>137</v>
      </c>
      <c r="M276" s="66"/>
    </row>
    <row r="277" spans="1:13" x14ac:dyDescent="0.4">
      <c r="A277" s="61">
        <v>137.5</v>
      </c>
      <c r="B277" s="62">
        <f t="shared" si="28"/>
        <v>137.4</v>
      </c>
      <c r="C277" s="62">
        <f t="shared" si="29"/>
        <v>357446.2890625</v>
      </c>
      <c r="G277" s="61">
        <v>137.5</v>
      </c>
      <c r="K277" s="61">
        <v>137.5</v>
      </c>
      <c r="M277" s="66"/>
    </row>
    <row r="278" spans="1:13" x14ac:dyDescent="0.4">
      <c r="A278" s="61">
        <v>138</v>
      </c>
      <c r="B278" s="62">
        <f t="shared" si="28"/>
        <v>137.9</v>
      </c>
      <c r="C278" s="62">
        <f t="shared" si="29"/>
        <v>362673.93599999987</v>
      </c>
      <c r="G278" s="61">
        <v>138</v>
      </c>
      <c r="K278" s="61">
        <v>138</v>
      </c>
      <c r="M278" s="66"/>
    </row>
    <row r="279" spans="1:13" x14ac:dyDescent="0.4">
      <c r="A279" s="61">
        <v>138.5</v>
      </c>
      <c r="B279" s="62">
        <f t="shared" si="28"/>
        <v>138.4</v>
      </c>
      <c r="C279" s="62">
        <f t="shared" si="29"/>
        <v>367958.71506250004</v>
      </c>
      <c r="G279" s="61">
        <v>138.5</v>
      </c>
      <c r="K279" s="61">
        <v>138.5</v>
      </c>
      <c r="M279" s="66"/>
    </row>
    <row r="280" spans="1:13" x14ac:dyDescent="0.4">
      <c r="A280" s="61">
        <v>139</v>
      </c>
      <c r="B280" s="62">
        <f t="shared" si="28"/>
        <v>138.9</v>
      </c>
      <c r="C280" s="62">
        <f t="shared" si="29"/>
        <v>373301.04099999991</v>
      </c>
      <c r="G280" s="61">
        <v>139</v>
      </c>
      <c r="K280" s="61">
        <v>139</v>
      </c>
      <c r="M280" s="66"/>
    </row>
    <row r="281" spans="1:13" x14ac:dyDescent="0.4">
      <c r="A281" s="61">
        <v>139.5</v>
      </c>
      <c r="B281" s="62">
        <f t="shared" si="28"/>
        <v>139.4</v>
      </c>
      <c r="C281" s="62">
        <f t="shared" si="29"/>
        <v>378701.33006250003</v>
      </c>
      <c r="G281" s="61">
        <v>139.5</v>
      </c>
      <c r="K281" s="61">
        <v>139.5</v>
      </c>
      <c r="M281" s="66"/>
    </row>
    <row r="282" spans="1:13" x14ac:dyDescent="0.4">
      <c r="A282" s="61">
        <v>140</v>
      </c>
      <c r="B282" s="62">
        <f t="shared" si="28"/>
        <v>139.9</v>
      </c>
      <c r="C282" s="62">
        <f t="shared" si="29"/>
        <v>384159.99999999988</v>
      </c>
      <c r="E282" s="62">
        <f>I282*1000</f>
        <v>238444.13793103441</v>
      </c>
      <c r="G282" s="61">
        <v>140</v>
      </c>
      <c r="I282" s="63">
        <f>(18/29)*(C282)/1000</f>
        <v>238.44413793103442</v>
      </c>
      <c r="J282" s="64">
        <f>((22.41/273)*(A282+273))*((1/29)+((1/18)*I282))</f>
        <v>450.26940795755962</v>
      </c>
      <c r="K282" s="61">
        <v>140</v>
      </c>
      <c r="M282" s="66"/>
    </row>
    <row r="283" spans="1:13" x14ac:dyDescent="0.4">
      <c r="A283" s="61">
        <v>140.5</v>
      </c>
      <c r="B283" s="62">
        <f t="shared" si="28"/>
        <v>140.4</v>
      </c>
      <c r="C283" s="62">
        <f t="shared" si="29"/>
        <v>389677.47006250004</v>
      </c>
      <c r="G283" s="61">
        <v>140.5</v>
      </c>
      <c r="K283" s="61">
        <v>140.5</v>
      </c>
      <c r="M283" s="66"/>
    </row>
    <row r="284" spans="1:13" x14ac:dyDescent="0.4">
      <c r="A284" s="61">
        <v>141</v>
      </c>
      <c r="B284" s="62">
        <f t="shared" si="28"/>
        <v>140.9</v>
      </c>
      <c r="C284" s="62">
        <f t="shared" si="29"/>
        <v>395254.16099999991</v>
      </c>
      <c r="G284" s="61">
        <v>141</v>
      </c>
      <c r="K284" s="61">
        <v>141</v>
      </c>
      <c r="M284" s="66"/>
    </row>
    <row r="285" spans="1:13" x14ac:dyDescent="0.4">
      <c r="A285" s="61">
        <v>141.5</v>
      </c>
      <c r="B285" s="62">
        <f t="shared" si="28"/>
        <v>141.4</v>
      </c>
      <c r="C285" s="62">
        <f t="shared" si="29"/>
        <v>400890.49506250001</v>
      </c>
      <c r="G285" s="61">
        <v>141.5</v>
      </c>
      <c r="K285" s="61">
        <v>141.5</v>
      </c>
      <c r="M285" s="66"/>
    </row>
    <row r="286" spans="1:13" x14ac:dyDescent="0.4">
      <c r="A286" s="61">
        <v>142</v>
      </c>
      <c r="B286" s="62">
        <f t="shared" si="28"/>
        <v>141.9</v>
      </c>
      <c r="C286" s="62">
        <f t="shared" si="29"/>
        <v>406586.89599999995</v>
      </c>
      <c r="G286" s="61">
        <v>142</v>
      </c>
      <c r="K286" s="61">
        <v>142</v>
      </c>
      <c r="M286" s="66"/>
    </row>
    <row r="287" spans="1:13" x14ac:dyDescent="0.4">
      <c r="A287" s="61">
        <v>142.5</v>
      </c>
      <c r="B287" s="62">
        <f t="shared" si="28"/>
        <v>142.4</v>
      </c>
      <c r="C287" s="62">
        <f t="shared" si="29"/>
        <v>412343.78906250006</v>
      </c>
      <c r="G287" s="61">
        <v>142.5</v>
      </c>
      <c r="K287" s="61">
        <v>142.5</v>
      </c>
      <c r="M287" s="66"/>
    </row>
    <row r="288" spans="1:13" x14ac:dyDescent="0.4">
      <c r="A288" s="61">
        <v>143</v>
      </c>
      <c r="B288" s="62">
        <f t="shared" si="28"/>
        <v>142.9</v>
      </c>
      <c r="C288" s="62">
        <f t="shared" si="29"/>
        <v>418161.60099999991</v>
      </c>
      <c r="G288" s="61">
        <v>143</v>
      </c>
      <c r="K288" s="61">
        <v>143</v>
      </c>
      <c r="M288" s="66"/>
    </row>
    <row r="289" spans="1:13" x14ac:dyDescent="0.4">
      <c r="A289" s="61">
        <v>143.5</v>
      </c>
      <c r="B289" s="62">
        <f t="shared" si="28"/>
        <v>143.4</v>
      </c>
      <c r="C289" s="62">
        <f t="shared" si="29"/>
        <v>424040.76006250008</v>
      </c>
      <c r="G289" s="61">
        <v>143.5</v>
      </c>
      <c r="K289" s="61">
        <v>143.5</v>
      </c>
      <c r="M289" s="66"/>
    </row>
    <row r="290" spans="1:13" x14ac:dyDescent="0.4">
      <c r="A290" s="61">
        <v>144</v>
      </c>
      <c r="B290" s="62">
        <f t="shared" si="28"/>
        <v>143.9</v>
      </c>
      <c r="C290" s="62">
        <f t="shared" si="29"/>
        <v>429981.69599999994</v>
      </c>
      <c r="G290" s="61">
        <v>144</v>
      </c>
      <c r="K290" s="61">
        <v>144</v>
      </c>
      <c r="M290" s="66"/>
    </row>
    <row r="291" spans="1:13" x14ac:dyDescent="0.4">
      <c r="A291" s="61">
        <v>144.5</v>
      </c>
      <c r="B291" s="62">
        <f t="shared" si="28"/>
        <v>144.4</v>
      </c>
      <c r="C291" s="62">
        <f t="shared" si="29"/>
        <v>435984.84006250004</v>
      </c>
      <c r="G291" s="61">
        <v>144.5</v>
      </c>
      <c r="K291" s="61">
        <v>144.5</v>
      </c>
      <c r="M291" s="66"/>
    </row>
    <row r="292" spans="1:13" x14ac:dyDescent="0.4">
      <c r="A292" s="61">
        <v>145</v>
      </c>
      <c r="B292" s="62">
        <f t="shared" si="28"/>
        <v>144.9</v>
      </c>
      <c r="C292" s="62">
        <f t="shared" si="29"/>
        <v>442050.625</v>
      </c>
      <c r="G292" s="61">
        <v>145</v>
      </c>
      <c r="K292" s="61">
        <v>145</v>
      </c>
      <c r="M292" s="66"/>
    </row>
    <row r="293" spans="1:13" x14ac:dyDescent="0.4">
      <c r="A293" s="61">
        <v>145.5</v>
      </c>
      <c r="B293" s="62">
        <f t="shared" si="28"/>
        <v>145.4</v>
      </c>
      <c r="C293" s="62">
        <f t="shared" si="29"/>
        <v>448179.48506250011</v>
      </c>
      <c r="G293" s="61">
        <v>145.5</v>
      </c>
      <c r="K293" s="61">
        <v>145.5</v>
      </c>
      <c r="M293" s="66"/>
    </row>
    <row r="294" spans="1:13" x14ac:dyDescent="0.4">
      <c r="A294" s="61">
        <v>146</v>
      </c>
      <c r="B294" s="62">
        <f t="shared" si="28"/>
        <v>145.9</v>
      </c>
      <c r="C294" s="62">
        <f t="shared" si="29"/>
        <v>454371.85599999985</v>
      </c>
      <c r="G294" s="61">
        <v>146</v>
      </c>
      <c r="K294" s="61">
        <v>146</v>
      </c>
      <c r="M294" s="66"/>
    </row>
    <row r="295" spans="1:13" x14ac:dyDescent="0.4">
      <c r="A295" s="61">
        <v>146.5</v>
      </c>
      <c r="B295" s="62">
        <f t="shared" si="28"/>
        <v>146.4</v>
      </c>
      <c r="C295" s="62">
        <f t="shared" si="29"/>
        <v>460628.17506250012</v>
      </c>
      <c r="G295" s="61">
        <v>146.5</v>
      </c>
      <c r="K295" s="61">
        <v>146.5</v>
      </c>
      <c r="M295" s="66"/>
    </row>
    <row r="296" spans="1:13" x14ac:dyDescent="0.4">
      <c r="A296" s="61">
        <v>147</v>
      </c>
      <c r="B296" s="62">
        <f t="shared" si="28"/>
        <v>146.9</v>
      </c>
      <c r="C296" s="62">
        <f t="shared" si="29"/>
        <v>466948.88099999988</v>
      </c>
      <c r="G296" s="61">
        <v>147</v>
      </c>
      <c r="K296" s="61">
        <v>147</v>
      </c>
      <c r="M296" s="66"/>
    </row>
    <row r="297" spans="1:13" x14ac:dyDescent="0.4">
      <c r="A297" s="61">
        <v>147.5</v>
      </c>
      <c r="B297" s="62">
        <f t="shared" si="28"/>
        <v>147.4</v>
      </c>
      <c r="C297" s="62">
        <f t="shared" si="29"/>
        <v>473334.41406250006</v>
      </c>
      <c r="G297" s="61">
        <v>147.5</v>
      </c>
      <c r="K297" s="61">
        <v>147.5</v>
      </c>
      <c r="M297" s="66"/>
    </row>
    <row r="298" spans="1:13" x14ac:dyDescent="0.4">
      <c r="A298" s="61">
        <v>148</v>
      </c>
      <c r="B298" s="62">
        <f t="shared" si="28"/>
        <v>147.9</v>
      </c>
      <c r="C298" s="62">
        <f t="shared" si="29"/>
        <v>479785.21599999996</v>
      </c>
      <c r="G298" s="61">
        <v>148</v>
      </c>
      <c r="K298" s="61">
        <v>148</v>
      </c>
      <c r="M298" s="66"/>
    </row>
    <row r="299" spans="1:13" x14ac:dyDescent="0.4">
      <c r="A299" s="61">
        <v>148.5</v>
      </c>
      <c r="B299" s="62">
        <f t="shared" si="28"/>
        <v>148.4</v>
      </c>
      <c r="C299" s="62">
        <f t="shared" si="29"/>
        <v>486301.73006250017</v>
      </c>
      <c r="G299" s="61">
        <v>148.5</v>
      </c>
      <c r="K299" s="61">
        <v>148.5</v>
      </c>
      <c r="M299" s="66"/>
    </row>
    <row r="300" spans="1:13" x14ac:dyDescent="0.4">
      <c r="A300" s="61">
        <v>149</v>
      </c>
      <c r="B300" s="62">
        <f t="shared" si="28"/>
        <v>148.9</v>
      </c>
      <c r="C300" s="62">
        <f t="shared" si="29"/>
        <v>492884.40099999995</v>
      </c>
      <c r="G300" s="61">
        <v>149</v>
      </c>
      <c r="K300" s="61">
        <v>149</v>
      </c>
      <c r="M300" s="66"/>
    </row>
    <row r="301" spans="1:13" x14ac:dyDescent="0.4">
      <c r="A301" s="61">
        <v>149.5</v>
      </c>
      <c r="B301" s="62">
        <f t="shared" si="28"/>
        <v>149.4</v>
      </c>
      <c r="C301" s="62">
        <f t="shared" si="29"/>
        <v>499533.67506250012</v>
      </c>
      <c r="G301" s="61">
        <v>149.5</v>
      </c>
      <c r="K301" s="61">
        <v>149.5</v>
      </c>
      <c r="M301" s="66"/>
    </row>
    <row r="302" spans="1:13" x14ac:dyDescent="0.4">
      <c r="A302" s="61">
        <v>150</v>
      </c>
      <c r="B302" s="62">
        <f t="shared" si="28"/>
        <v>149.9</v>
      </c>
      <c r="C302" s="62">
        <f t="shared" si="29"/>
        <v>506250</v>
      </c>
      <c r="E302" s="62">
        <f>I302*1000</f>
        <v>314224.13793103449</v>
      </c>
      <c r="G302" s="61">
        <v>150</v>
      </c>
      <c r="I302" s="63">
        <f>(18/29)*(C302)/1000</f>
        <v>314.22413793103448</v>
      </c>
      <c r="J302" s="64">
        <f>((22.41/273)*(A302+273))*((1/29)+((1/18)*I302))</f>
        <v>607.35643141341416</v>
      </c>
      <c r="K302" s="61">
        <v>150</v>
      </c>
      <c r="L302" s="65"/>
      <c r="M302" s="66"/>
    </row>
    <row r="303" spans="1:13" x14ac:dyDescent="0.4">
      <c r="A303" s="61">
        <v>150.5</v>
      </c>
      <c r="B303" s="62">
        <f t="shared" si="28"/>
        <v>150.4</v>
      </c>
      <c r="C303" s="62">
        <f t="shared" si="29"/>
        <v>513033.82506249979</v>
      </c>
      <c r="G303" s="61">
        <v>150.5</v>
      </c>
      <c r="K303" s="61">
        <v>150.5</v>
      </c>
      <c r="M303" s="66"/>
    </row>
    <row r="304" spans="1:13" x14ac:dyDescent="0.4">
      <c r="A304" s="61">
        <v>151</v>
      </c>
      <c r="B304" s="62">
        <f t="shared" si="28"/>
        <v>150.9</v>
      </c>
      <c r="C304" s="62">
        <f t="shared" si="29"/>
        <v>519885.60100000002</v>
      </c>
      <c r="G304" s="61">
        <v>151</v>
      </c>
      <c r="K304" s="61">
        <v>151</v>
      </c>
      <c r="M304" s="66"/>
    </row>
    <row r="305" spans="1:13" x14ac:dyDescent="0.4">
      <c r="A305" s="61">
        <v>151.5</v>
      </c>
      <c r="B305" s="62">
        <f t="shared" si="28"/>
        <v>151.4</v>
      </c>
      <c r="C305" s="62">
        <f t="shared" si="29"/>
        <v>526805.78006249992</v>
      </c>
      <c r="G305" s="61">
        <v>151.5</v>
      </c>
      <c r="K305" s="61">
        <v>151.5</v>
      </c>
      <c r="M305" s="66"/>
    </row>
    <row r="306" spans="1:13" x14ac:dyDescent="0.4">
      <c r="A306" s="61">
        <v>152</v>
      </c>
      <c r="B306" s="62">
        <f t="shared" si="28"/>
        <v>151.9</v>
      </c>
      <c r="C306" s="62">
        <f t="shared" si="29"/>
        <v>533794.81599999999</v>
      </c>
      <c r="G306" s="61">
        <v>152</v>
      </c>
      <c r="K306" s="61">
        <v>152</v>
      </c>
      <c r="M306" s="66"/>
    </row>
    <row r="307" spans="1:13" x14ac:dyDescent="0.4">
      <c r="A307" s="61">
        <v>152.5</v>
      </c>
      <c r="B307" s="62">
        <f t="shared" si="28"/>
        <v>152.4</v>
      </c>
      <c r="C307" s="62">
        <f t="shared" si="29"/>
        <v>540853.16406249988</v>
      </c>
      <c r="G307" s="61">
        <v>152.5</v>
      </c>
      <c r="K307" s="61">
        <v>152.5</v>
      </c>
      <c r="M307" s="66"/>
    </row>
    <row r="308" spans="1:13" x14ac:dyDescent="0.4">
      <c r="A308" s="61">
        <v>153</v>
      </c>
      <c r="B308" s="62">
        <f t="shared" si="28"/>
        <v>152.9</v>
      </c>
      <c r="C308" s="62">
        <f t="shared" si="29"/>
        <v>547981.28100000008</v>
      </c>
      <c r="G308" s="61">
        <v>153</v>
      </c>
      <c r="K308" s="61">
        <v>153</v>
      </c>
      <c r="M308" s="66"/>
    </row>
    <row r="309" spans="1:13" x14ac:dyDescent="0.4">
      <c r="A309" s="61">
        <v>153.5</v>
      </c>
      <c r="B309" s="62">
        <f t="shared" si="28"/>
        <v>153.4</v>
      </c>
      <c r="C309" s="62">
        <f t="shared" si="29"/>
        <v>555179.62506249989</v>
      </c>
      <c r="G309" s="61">
        <v>153.5</v>
      </c>
      <c r="K309" s="61">
        <v>153.5</v>
      </c>
      <c r="M309" s="66"/>
    </row>
    <row r="310" spans="1:13" x14ac:dyDescent="0.4">
      <c r="A310" s="61">
        <v>154</v>
      </c>
      <c r="B310" s="62">
        <f t="shared" si="28"/>
        <v>153.9</v>
      </c>
      <c r="C310" s="62">
        <f t="shared" si="29"/>
        <v>562448.65599999996</v>
      </c>
      <c r="G310" s="61">
        <v>154</v>
      </c>
      <c r="K310" s="61">
        <v>154</v>
      </c>
      <c r="M310" s="66"/>
    </row>
    <row r="311" spans="1:13" x14ac:dyDescent="0.4">
      <c r="A311" s="61">
        <v>154.5</v>
      </c>
      <c r="B311" s="62">
        <f t="shared" si="28"/>
        <v>154.4</v>
      </c>
      <c r="C311" s="62">
        <f t="shared" si="29"/>
        <v>569788.83506249997</v>
      </c>
      <c r="G311" s="61">
        <v>154.5</v>
      </c>
      <c r="K311" s="61">
        <v>154.5</v>
      </c>
      <c r="M311" s="66"/>
    </row>
    <row r="312" spans="1:13" x14ac:dyDescent="0.4">
      <c r="A312" s="61">
        <v>155</v>
      </c>
      <c r="B312" s="62">
        <f t="shared" si="28"/>
        <v>154.9</v>
      </c>
      <c r="C312" s="62">
        <f t="shared" si="29"/>
        <v>577200.62500000012</v>
      </c>
      <c r="G312" s="61">
        <v>155</v>
      </c>
      <c r="K312" s="61">
        <v>155</v>
      </c>
      <c r="M312" s="66"/>
    </row>
    <row r="313" spans="1:13" x14ac:dyDescent="0.4">
      <c r="A313" s="61">
        <v>155.5</v>
      </c>
      <c r="B313" s="62">
        <f t="shared" si="28"/>
        <v>155.4</v>
      </c>
      <c r="C313" s="62">
        <f t="shared" si="29"/>
        <v>584684.49006249988</v>
      </c>
      <c r="G313" s="61">
        <v>155.5</v>
      </c>
      <c r="K313" s="61">
        <v>155.5</v>
      </c>
      <c r="M313" s="66"/>
    </row>
    <row r="314" spans="1:13" x14ac:dyDescent="0.4">
      <c r="A314" s="61">
        <v>156</v>
      </c>
      <c r="B314" s="62">
        <f t="shared" si="28"/>
        <v>155.9</v>
      </c>
      <c r="C314" s="62">
        <f t="shared" si="29"/>
        <v>592240.89600000007</v>
      </c>
      <c r="G314" s="61">
        <v>156</v>
      </c>
      <c r="K314" s="61">
        <v>156</v>
      </c>
      <c r="M314" s="66"/>
    </row>
    <row r="315" spans="1:13" x14ac:dyDescent="0.4">
      <c r="A315" s="61">
        <v>156.5</v>
      </c>
      <c r="B315" s="62">
        <f t="shared" si="28"/>
        <v>156.4</v>
      </c>
      <c r="C315" s="62">
        <f t="shared" si="29"/>
        <v>599870.31006249983</v>
      </c>
      <c r="G315" s="61">
        <v>156.5</v>
      </c>
      <c r="K315" s="61">
        <v>156.5</v>
      </c>
      <c r="M315" s="66"/>
    </row>
    <row r="316" spans="1:13" x14ac:dyDescent="0.4">
      <c r="A316" s="61">
        <v>157</v>
      </c>
      <c r="B316" s="62">
        <f t="shared" si="28"/>
        <v>156.9</v>
      </c>
      <c r="C316" s="62">
        <f t="shared" si="29"/>
        <v>607573.201</v>
      </c>
      <c r="G316" s="61">
        <v>157</v>
      </c>
      <c r="K316" s="61">
        <v>157</v>
      </c>
      <c r="M316" s="66"/>
    </row>
    <row r="317" spans="1:13" x14ac:dyDescent="0.4">
      <c r="A317" s="61">
        <v>157.5</v>
      </c>
      <c r="B317" s="62">
        <f t="shared" si="28"/>
        <v>157.4</v>
      </c>
      <c r="C317" s="62">
        <f t="shared" si="29"/>
        <v>615350.03906249988</v>
      </c>
      <c r="G317" s="61">
        <v>157.5</v>
      </c>
      <c r="K317" s="61">
        <v>157.5</v>
      </c>
      <c r="M317" s="66"/>
    </row>
    <row r="318" spans="1:13" x14ac:dyDescent="0.4">
      <c r="A318" s="61">
        <v>158</v>
      </c>
      <c r="B318" s="62">
        <f t="shared" si="28"/>
        <v>157.9</v>
      </c>
      <c r="C318" s="62">
        <f t="shared" si="29"/>
        <v>623201.29600000021</v>
      </c>
      <c r="G318" s="61">
        <v>158</v>
      </c>
      <c r="K318" s="61">
        <v>158</v>
      </c>
      <c r="M318" s="66"/>
    </row>
    <row r="319" spans="1:13" x14ac:dyDescent="0.4">
      <c r="A319" s="61">
        <v>158.5</v>
      </c>
      <c r="B319" s="62">
        <f t="shared" si="28"/>
        <v>158.4</v>
      </c>
      <c r="C319" s="62">
        <f t="shared" si="29"/>
        <v>631127.44506249996</v>
      </c>
      <c r="G319" s="61">
        <v>158.5</v>
      </c>
      <c r="K319" s="61">
        <v>158.5</v>
      </c>
      <c r="M319" s="66"/>
    </row>
    <row r="320" spans="1:13" x14ac:dyDescent="0.4">
      <c r="A320" s="61">
        <v>159</v>
      </c>
      <c r="B320" s="62">
        <f t="shared" si="28"/>
        <v>158.9</v>
      </c>
      <c r="C320" s="62">
        <f t="shared" si="29"/>
        <v>639128.96100000013</v>
      </c>
      <c r="G320" s="61">
        <v>159</v>
      </c>
      <c r="K320" s="61">
        <v>159</v>
      </c>
      <c r="M320" s="66"/>
    </row>
    <row r="321" spans="1:13" x14ac:dyDescent="0.4">
      <c r="A321" s="61">
        <v>159.5</v>
      </c>
      <c r="B321" s="62">
        <f t="shared" si="28"/>
        <v>159.4</v>
      </c>
      <c r="C321" s="62">
        <f t="shared" si="29"/>
        <v>647206.32006249996</v>
      </c>
      <c r="G321" s="61">
        <v>159.5</v>
      </c>
      <c r="K321" s="61">
        <v>159.5</v>
      </c>
      <c r="M321" s="66"/>
    </row>
    <row r="322" spans="1:13" x14ac:dyDescent="0.4">
      <c r="A322" s="61">
        <v>160</v>
      </c>
      <c r="B322" s="62">
        <f t="shared" ref="B322:B385" si="30">A322-0.1</f>
        <v>159.9</v>
      </c>
      <c r="C322" s="62">
        <f t="shared" si="29"/>
        <v>655360.00000000035</v>
      </c>
      <c r="E322" s="62">
        <f>I322*1000</f>
        <v>406775.17241379333</v>
      </c>
      <c r="G322" s="61">
        <v>160</v>
      </c>
      <c r="I322" s="63">
        <f>(18/29)*(C322)/1000</f>
        <v>406.77517241379331</v>
      </c>
      <c r="J322" s="64">
        <f>((22.41/273)*(A322+273))*((1/29)+((1/18)*I322))</f>
        <v>804.47252125805267</v>
      </c>
      <c r="K322" s="61">
        <v>160</v>
      </c>
      <c r="M322" s="66"/>
    </row>
    <row r="323" spans="1:13" x14ac:dyDescent="0.4">
      <c r="A323" s="61">
        <v>160.5</v>
      </c>
      <c r="B323" s="62">
        <f t="shared" si="30"/>
        <v>160.4</v>
      </c>
      <c r="C323" s="62">
        <f t="shared" si="29"/>
        <v>663590.48006249999</v>
      </c>
      <c r="G323" s="61">
        <v>160.5</v>
      </c>
      <c r="K323" s="61">
        <v>160.5</v>
      </c>
      <c r="M323" s="66"/>
    </row>
    <row r="324" spans="1:13" x14ac:dyDescent="0.4">
      <c r="A324" s="61">
        <v>161</v>
      </c>
      <c r="B324" s="62">
        <f t="shared" si="30"/>
        <v>160.9</v>
      </c>
      <c r="C324" s="62">
        <f t="shared" si="29"/>
        <v>671898.24100000015</v>
      </c>
      <c r="G324" s="61">
        <v>161</v>
      </c>
      <c r="K324" s="61">
        <v>161</v>
      </c>
      <c r="M324" s="66"/>
    </row>
    <row r="325" spans="1:13" x14ac:dyDescent="0.4">
      <c r="A325" s="61">
        <v>161.5</v>
      </c>
      <c r="B325" s="62">
        <f t="shared" si="30"/>
        <v>161.4</v>
      </c>
      <c r="C325" s="62">
        <f t="shared" si="29"/>
        <v>680283.76506250002</v>
      </c>
      <c r="G325" s="61">
        <v>161.5</v>
      </c>
      <c r="K325" s="61">
        <v>161.5</v>
      </c>
      <c r="M325" s="66"/>
    </row>
    <row r="326" spans="1:13" x14ac:dyDescent="0.4">
      <c r="A326" s="61">
        <v>162</v>
      </c>
      <c r="B326" s="62">
        <f t="shared" si="30"/>
        <v>161.9</v>
      </c>
      <c r="C326" s="62">
        <f t="shared" si="29"/>
        <v>688747.5360000002</v>
      </c>
      <c r="G326" s="61">
        <v>162</v>
      </c>
      <c r="K326" s="61">
        <v>162</v>
      </c>
      <c r="M326" s="66"/>
    </row>
    <row r="327" spans="1:13" x14ac:dyDescent="0.4">
      <c r="A327" s="61">
        <v>162.5</v>
      </c>
      <c r="B327" s="62">
        <f t="shared" si="30"/>
        <v>162.4</v>
      </c>
      <c r="C327" s="62">
        <f t="shared" si="29"/>
        <v>697290.0390625</v>
      </c>
      <c r="G327" s="61">
        <v>162.5</v>
      </c>
      <c r="K327" s="61">
        <v>162.5</v>
      </c>
      <c r="M327" s="66"/>
    </row>
    <row r="328" spans="1:13" x14ac:dyDescent="0.4">
      <c r="A328" s="61">
        <v>163</v>
      </c>
      <c r="B328" s="62">
        <f t="shared" si="30"/>
        <v>162.9</v>
      </c>
      <c r="C328" s="62">
        <f t="shared" si="29"/>
        <v>705911.76099999982</v>
      </c>
      <c r="G328" s="61">
        <v>163</v>
      </c>
      <c r="K328" s="61">
        <v>163</v>
      </c>
      <c r="M328" s="66"/>
    </row>
    <row r="329" spans="1:13" x14ac:dyDescent="0.4">
      <c r="A329" s="61">
        <v>163.5</v>
      </c>
      <c r="B329" s="62">
        <f t="shared" si="30"/>
        <v>163.4</v>
      </c>
      <c r="C329" s="62">
        <f t="shared" si="29"/>
        <v>714613.19006249995</v>
      </c>
      <c r="G329" s="61">
        <v>163.5</v>
      </c>
      <c r="K329" s="61">
        <v>163.5</v>
      </c>
      <c r="M329" s="66"/>
    </row>
    <row r="330" spans="1:13" x14ac:dyDescent="0.4">
      <c r="A330" s="61">
        <v>164</v>
      </c>
      <c r="B330" s="62">
        <f t="shared" si="30"/>
        <v>163.9</v>
      </c>
      <c r="C330" s="62">
        <f t="shared" si="29"/>
        <v>723394.81599999976</v>
      </c>
      <c r="G330" s="61">
        <v>164</v>
      </c>
      <c r="K330" s="61">
        <v>164</v>
      </c>
      <c r="M330" s="66"/>
    </row>
    <row r="331" spans="1:13" x14ac:dyDescent="0.4">
      <c r="A331" s="61">
        <v>164.5</v>
      </c>
      <c r="B331" s="62">
        <f t="shared" si="30"/>
        <v>164.4</v>
      </c>
      <c r="C331" s="62">
        <f t="shared" ref="C331:C394" si="31">((A331/100)^4)*100000</f>
        <v>732257.1300624999</v>
      </c>
      <c r="G331" s="61">
        <v>164.5</v>
      </c>
      <c r="K331" s="61">
        <v>164.5</v>
      </c>
      <c r="M331" s="66"/>
    </row>
    <row r="332" spans="1:13" x14ac:dyDescent="0.4">
      <c r="A332" s="61">
        <v>165</v>
      </c>
      <c r="B332" s="62">
        <f t="shared" si="30"/>
        <v>164.9</v>
      </c>
      <c r="C332" s="62">
        <f t="shared" si="31"/>
        <v>741200.62499999988</v>
      </c>
      <c r="G332" s="61">
        <v>165</v>
      </c>
      <c r="K332" s="61">
        <v>165</v>
      </c>
      <c r="M332" s="66"/>
    </row>
    <row r="333" spans="1:13" x14ac:dyDescent="0.4">
      <c r="A333" s="61">
        <v>165.5</v>
      </c>
      <c r="B333" s="62">
        <f t="shared" si="30"/>
        <v>165.4</v>
      </c>
      <c r="C333" s="62">
        <f t="shared" si="31"/>
        <v>750225.79506250017</v>
      </c>
      <c r="G333" s="61">
        <v>165.5</v>
      </c>
      <c r="K333" s="61">
        <v>165.5</v>
      </c>
      <c r="M333" s="66"/>
    </row>
    <row r="334" spans="1:13" x14ac:dyDescent="0.4">
      <c r="A334" s="61">
        <v>166</v>
      </c>
      <c r="B334" s="62">
        <f t="shared" si="30"/>
        <v>165.9</v>
      </c>
      <c r="C334" s="62">
        <f t="shared" si="31"/>
        <v>759333.13599999982</v>
      </c>
      <c r="G334" s="61">
        <v>166</v>
      </c>
      <c r="K334" s="61">
        <v>166</v>
      </c>
      <c r="M334" s="66"/>
    </row>
    <row r="335" spans="1:13" x14ac:dyDescent="0.4">
      <c r="A335" s="61">
        <v>166.5</v>
      </c>
      <c r="B335" s="62">
        <f t="shared" si="30"/>
        <v>166.4</v>
      </c>
      <c r="C335" s="62">
        <f t="shared" si="31"/>
        <v>768523.14506250015</v>
      </c>
      <c r="G335" s="61">
        <v>166.5</v>
      </c>
      <c r="K335" s="61">
        <v>166.5</v>
      </c>
      <c r="M335" s="66"/>
    </row>
    <row r="336" spans="1:13" x14ac:dyDescent="0.4">
      <c r="A336" s="61">
        <v>167</v>
      </c>
      <c r="B336" s="62">
        <f t="shared" si="30"/>
        <v>166.9</v>
      </c>
      <c r="C336" s="62">
        <f t="shared" si="31"/>
        <v>777796.32099999988</v>
      </c>
      <c r="G336" s="61">
        <v>167</v>
      </c>
      <c r="K336" s="61">
        <v>167</v>
      </c>
      <c r="M336" s="66"/>
    </row>
    <row r="337" spans="1:13" x14ac:dyDescent="0.4">
      <c r="A337" s="61">
        <v>167.5</v>
      </c>
      <c r="B337" s="62">
        <f t="shared" si="30"/>
        <v>167.4</v>
      </c>
      <c r="C337" s="62">
        <f t="shared" si="31"/>
        <v>787153.1640625</v>
      </c>
      <c r="G337" s="61">
        <v>167.5</v>
      </c>
      <c r="K337" s="61">
        <v>167.5</v>
      </c>
      <c r="M337" s="66"/>
    </row>
    <row r="338" spans="1:13" x14ac:dyDescent="0.4">
      <c r="A338" s="61">
        <v>168</v>
      </c>
      <c r="B338" s="62">
        <f t="shared" si="30"/>
        <v>167.9</v>
      </c>
      <c r="C338" s="62">
        <f t="shared" si="31"/>
        <v>796594.17599999974</v>
      </c>
      <c r="G338" s="61">
        <v>168</v>
      </c>
      <c r="K338" s="61">
        <v>168</v>
      </c>
      <c r="M338" s="66"/>
    </row>
    <row r="339" spans="1:13" x14ac:dyDescent="0.4">
      <c r="A339" s="61">
        <v>168.5</v>
      </c>
      <c r="B339" s="62">
        <f t="shared" si="30"/>
        <v>168.4</v>
      </c>
      <c r="C339" s="62">
        <f t="shared" si="31"/>
        <v>806119.86006250011</v>
      </c>
      <c r="G339" s="61">
        <v>168.5</v>
      </c>
      <c r="K339" s="61">
        <v>168.5</v>
      </c>
      <c r="M339" s="66"/>
    </row>
    <row r="340" spans="1:13" x14ac:dyDescent="0.4">
      <c r="A340" s="61">
        <v>169</v>
      </c>
      <c r="B340" s="62">
        <f t="shared" si="30"/>
        <v>168.9</v>
      </c>
      <c r="C340" s="62">
        <f t="shared" si="31"/>
        <v>815730.72099999967</v>
      </c>
      <c r="G340" s="61">
        <v>169</v>
      </c>
      <c r="K340" s="61">
        <v>169</v>
      </c>
      <c r="M340" s="66"/>
    </row>
    <row r="341" spans="1:13" x14ac:dyDescent="0.4">
      <c r="A341" s="61">
        <v>169.5</v>
      </c>
      <c r="B341" s="62">
        <f t="shared" si="30"/>
        <v>169.4</v>
      </c>
      <c r="C341" s="62">
        <f t="shared" si="31"/>
        <v>825427.26506250014</v>
      </c>
      <c r="G341" s="61">
        <v>169.5</v>
      </c>
      <c r="K341" s="61">
        <v>169.5</v>
      </c>
      <c r="M341" s="66"/>
    </row>
    <row r="342" spans="1:13" x14ac:dyDescent="0.4">
      <c r="A342" s="61">
        <v>170</v>
      </c>
      <c r="B342" s="62">
        <f t="shared" si="30"/>
        <v>169.9</v>
      </c>
      <c r="C342" s="62">
        <f t="shared" si="31"/>
        <v>835209.99999999988</v>
      </c>
      <c r="G342" s="61">
        <v>170</v>
      </c>
      <c r="I342" s="63">
        <f>(18/29)*(C342)/1000</f>
        <v>518.40620689655168</v>
      </c>
      <c r="J342" s="64">
        <f>((22.41/273)*(A342+273))*((1/29)+((1/18)*I342))</f>
        <v>1048.5769208412278</v>
      </c>
      <c r="K342" s="61">
        <v>170</v>
      </c>
      <c r="M342" s="66"/>
    </row>
    <row r="343" spans="1:13" x14ac:dyDescent="0.4">
      <c r="A343" s="61">
        <v>170.5</v>
      </c>
      <c r="B343" s="62">
        <f t="shared" si="30"/>
        <v>170.4</v>
      </c>
      <c r="C343" s="62">
        <f t="shared" si="31"/>
        <v>845079.4350625003</v>
      </c>
      <c r="G343" s="61">
        <v>170.5</v>
      </c>
      <c r="K343" s="61">
        <v>170.5</v>
      </c>
      <c r="M343" s="66"/>
    </row>
    <row r="344" spans="1:13" x14ac:dyDescent="0.4">
      <c r="A344" s="61">
        <v>171</v>
      </c>
      <c r="B344" s="62">
        <f t="shared" si="30"/>
        <v>170.9</v>
      </c>
      <c r="C344" s="62">
        <f t="shared" si="31"/>
        <v>855036.08099999989</v>
      </c>
      <c r="G344" s="61">
        <v>171</v>
      </c>
      <c r="K344" s="61">
        <v>171</v>
      </c>
      <c r="M344" s="66"/>
    </row>
    <row r="345" spans="1:13" x14ac:dyDescent="0.4">
      <c r="A345" s="61">
        <v>171.5</v>
      </c>
      <c r="B345" s="62">
        <f t="shared" si="30"/>
        <v>171.4</v>
      </c>
      <c r="C345" s="62">
        <f t="shared" si="31"/>
        <v>865080.4500625002</v>
      </c>
      <c r="G345" s="61">
        <v>171.5</v>
      </c>
      <c r="K345" s="61">
        <v>171.5</v>
      </c>
      <c r="M345" s="66"/>
    </row>
    <row r="346" spans="1:13" x14ac:dyDescent="0.4">
      <c r="A346" s="61">
        <v>172</v>
      </c>
      <c r="B346" s="62">
        <f t="shared" si="30"/>
        <v>171.9</v>
      </c>
      <c r="C346" s="62">
        <f t="shared" si="31"/>
        <v>875213.05599999975</v>
      </c>
      <c r="G346" s="61">
        <v>172</v>
      </c>
      <c r="K346" s="61">
        <v>172</v>
      </c>
      <c r="M346" s="66"/>
    </row>
    <row r="347" spans="1:13" x14ac:dyDescent="0.4">
      <c r="A347" s="61">
        <v>172.5</v>
      </c>
      <c r="B347" s="62">
        <f t="shared" si="30"/>
        <v>172.4</v>
      </c>
      <c r="C347" s="62">
        <f t="shared" si="31"/>
        <v>885434.41406250023</v>
      </c>
      <c r="G347" s="61">
        <v>172.5</v>
      </c>
      <c r="K347" s="61">
        <v>172.5</v>
      </c>
      <c r="M347" s="66"/>
    </row>
    <row r="348" spans="1:13" x14ac:dyDescent="0.4">
      <c r="A348" s="61">
        <v>173</v>
      </c>
      <c r="B348" s="62">
        <f t="shared" si="30"/>
        <v>172.9</v>
      </c>
      <c r="C348" s="62">
        <f t="shared" si="31"/>
        <v>895745.04099999997</v>
      </c>
      <c r="G348" s="61">
        <v>173</v>
      </c>
      <c r="K348" s="61">
        <v>173</v>
      </c>
      <c r="M348" s="66"/>
    </row>
    <row r="349" spans="1:13" x14ac:dyDescent="0.4">
      <c r="A349" s="61">
        <v>173.5</v>
      </c>
      <c r="B349" s="62">
        <f t="shared" si="30"/>
        <v>173.4</v>
      </c>
      <c r="C349" s="62">
        <f t="shared" si="31"/>
        <v>906145.45506250008</v>
      </c>
      <c r="G349" s="61">
        <v>173.5</v>
      </c>
      <c r="K349" s="61">
        <v>173.5</v>
      </c>
      <c r="M349" s="66"/>
    </row>
    <row r="350" spans="1:13" x14ac:dyDescent="0.4">
      <c r="A350" s="61">
        <v>174</v>
      </c>
      <c r="B350" s="62">
        <f t="shared" si="30"/>
        <v>173.9</v>
      </c>
      <c r="C350" s="62">
        <f t="shared" si="31"/>
        <v>916636.17600000009</v>
      </c>
      <c r="G350" s="61">
        <v>174</v>
      </c>
      <c r="K350" s="61">
        <v>174</v>
      </c>
      <c r="M350" s="66"/>
    </row>
    <row r="351" spans="1:13" x14ac:dyDescent="0.4">
      <c r="A351" s="61">
        <v>174.5</v>
      </c>
      <c r="B351" s="62">
        <f t="shared" si="30"/>
        <v>174.4</v>
      </c>
      <c r="C351" s="62">
        <f t="shared" si="31"/>
        <v>927217.72506250022</v>
      </c>
      <c r="G351" s="61">
        <v>174.5</v>
      </c>
      <c r="K351" s="61">
        <v>174.5</v>
      </c>
      <c r="M351" s="66"/>
    </row>
    <row r="352" spans="1:13" x14ac:dyDescent="0.4">
      <c r="A352" s="61">
        <v>175</v>
      </c>
      <c r="B352" s="62">
        <f t="shared" si="30"/>
        <v>174.9</v>
      </c>
      <c r="C352" s="62">
        <f t="shared" si="31"/>
        <v>937890.625</v>
      </c>
      <c r="G352" s="61">
        <v>175</v>
      </c>
      <c r="K352" s="61">
        <v>175</v>
      </c>
      <c r="M352" s="66"/>
    </row>
    <row r="353" spans="1:13" x14ac:dyDescent="0.4">
      <c r="A353" s="61">
        <v>175.5</v>
      </c>
      <c r="B353" s="62">
        <f t="shared" si="30"/>
        <v>175.4</v>
      </c>
      <c r="C353" s="62">
        <f t="shared" si="31"/>
        <v>948655.40006249968</v>
      </c>
      <c r="G353" s="61">
        <v>175.5</v>
      </c>
      <c r="K353" s="61">
        <v>175.5</v>
      </c>
      <c r="M353" s="66"/>
    </row>
    <row r="354" spans="1:13" x14ac:dyDescent="0.4">
      <c r="A354" s="61">
        <v>176</v>
      </c>
      <c r="B354" s="62">
        <f t="shared" si="30"/>
        <v>175.9</v>
      </c>
      <c r="C354" s="62">
        <f t="shared" si="31"/>
        <v>959512.576</v>
      </c>
      <c r="G354" s="61">
        <v>176</v>
      </c>
      <c r="K354" s="61">
        <v>176</v>
      </c>
      <c r="M354" s="66"/>
    </row>
    <row r="355" spans="1:13" x14ac:dyDescent="0.4">
      <c r="A355" s="61">
        <v>176.5</v>
      </c>
      <c r="B355" s="62">
        <f t="shared" si="30"/>
        <v>176.4</v>
      </c>
      <c r="C355" s="62">
        <f t="shared" si="31"/>
        <v>970462.68006249983</v>
      </c>
      <c r="G355" s="61">
        <v>176.5</v>
      </c>
      <c r="K355" s="61">
        <v>176.5</v>
      </c>
      <c r="M355" s="66"/>
    </row>
    <row r="356" spans="1:13" x14ac:dyDescent="0.4">
      <c r="A356" s="61">
        <v>177</v>
      </c>
      <c r="B356" s="62">
        <f t="shared" si="30"/>
        <v>176.9</v>
      </c>
      <c r="C356" s="62">
        <f t="shared" si="31"/>
        <v>981506.24100000015</v>
      </c>
      <c r="G356" s="61">
        <v>177</v>
      </c>
      <c r="K356" s="61">
        <v>177</v>
      </c>
      <c r="M356" s="66"/>
    </row>
    <row r="357" spans="1:13" x14ac:dyDescent="0.4">
      <c r="A357" s="61">
        <v>177.5</v>
      </c>
      <c r="B357" s="62">
        <f t="shared" si="30"/>
        <v>177.4</v>
      </c>
      <c r="C357" s="62">
        <f t="shared" si="31"/>
        <v>992643.7890625</v>
      </c>
      <c r="G357" s="61">
        <v>177.5</v>
      </c>
      <c r="K357" s="61">
        <v>177.5</v>
      </c>
      <c r="M357" s="66"/>
    </row>
    <row r="358" spans="1:13" x14ac:dyDescent="0.4">
      <c r="A358" s="61">
        <v>178</v>
      </c>
      <c r="B358" s="62">
        <f t="shared" si="30"/>
        <v>177.9</v>
      </c>
      <c r="C358" s="62">
        <f t="shared" si="31"/>
        <v>1003875.8560000001</v>
      </c>
      <c r="G358" s="61">
        <v>178</v>
      </c>
      <c r="K358" s="61">
        <v>178</v>
      </c>
      <c r="M358" s="66"/>
    </row>
    <row r="359" spans="1:13" x14ac:dyDescent="0.4">
      <c r="A359" s="61">
        <v>178.5</v>
      </c>
      <c r="B359" s="62">
        <f t="shared" si="30"/>
        <v>178.4</v>
      </c>
      <c r="C359" s="62">
        <f t="shared" si="31"/>
        <v>1015202.9750624999</v>
      </c>
      <c r="G359" s="61">
        <v>178.5</v>
      </c>
      <c r="K359" s="61">
        <v>178.5</v>
      </c>
      <c r="M359" s="66"/>
    </row>
    <row r="360" spans="1:13" x14ac:dyDescent="0.4">
      <c r="A360" s="61">
        <v>179</v>
      </c>
      <c r="B360" s="62">
        <f t="shared" si="30"/>
        <v>178.9</v>
      </c>
      <c r="C360" s="62">
        <f t="shared" si="31"/>
        <v>1026625.681</v>
      </c>
      <c r="G360" s="61">
        <v>179</v>
      </c>
      <c r="K360" s="61">
        <v>179</v>
      </c>
      <c r="M360" s="66"/>
    </row>
    <row r="361" spans="1:13" x14ac:dyDescent="0.4">
      <c r="A361" s="61">
        <v>179.5</v>
      </c>
      <c r="B361" s="62">
        <f t="shared" si="30"/>
        <v>179.4</v>
      </c>
      <c r="C361" s="62">
        <f t="shared" si="31"/>
        <v>1038144.5100624999</v>
      </c>
      <c r="G361" s="61">
        <v>179.5</v>
      </c>
      <c r="K361" s="61">
        <v>179.5</v>
      </c>
      <c r="M361" s="66"/>
    </row>
    <row r="362" spans="1:13" x14ac:dyDescent="0.4">
      <c r="A362" s="61">
        <v>180</v>
      </c>
      <c r="B362" s="62">
        <f t="shared" si="30"/>
        <v>179.9</v>
      </c>
      <c r="C362" s="62">
        <f t="shared" si="31"/>
        <v>1049760.0000000002</v>
      </c>
      <c r="E362" s="62">
        <f>I362*1000</f>
        <v>651575.17241379328</v>
      </c>
      <c r="G362" s="61">
        <v>180</v>
      </c>
      <c r="I362" s="63">
        <f>(18/29)*(C362)/1000</f>
        <v>651.57517241379333</v>
      </c>
      <c r="J362" s="64">
        <f>((22.41/273)*(A362+273))*((1/29)+((1/18)*I362))</f>
        <v>1347.3578141720352</v>
      </c>
      <c r="K362" s="61">
        <v>180</v>
      </c>
      <c r="M362" s="66"/>
    </row>
    <row r="363" spans="1:13" x14ac:dyDescent="0.4">
      <c r="A363" s="61">
        <v>180.5</v>
      </c>
      <c r="B363" s="62">
        <f t="shared" si="30"/>
        <v>180.4</v>
      </c>
      <c r="C363" s="62">
        <f t="shared" si="31"/>
        <v>1061472.6900625001</v>
      </c>
      <c r="G363" s="61">
        <v>180.5</v>
      </c>
      <c r="K363" s="61">
        <v>180.5</v>
      </c>
      <c r="M363" s="66"/>
    </row>
    <row r="364" spans="1:13" x14ac:dyDescent="0.4">
      <c r="A364" s="61">
        <v>181</v>
      </c>
      <c r="B364" s="62">
        <f t="shared" si="30"/>
        <v>180.9</v>
      </c>
      <c r="C364" s="62">
        <f t="shared" si="31"/>
        <v>1073283.121</v>
      </c>
      <c r="G364" s="61">
        <v>181</v>
      </c>
      <c r="K364" s="61">
        <v>181</v>
      </c>
      <c r="M364" s="66"/>
    </row>
    <row r="365" spans="1:13" x14ac:dyDescent="0.4">
      <c r="A365" s="61">
        <v>181.5</v>
      </c>
      <c r="B365" s="62">
        <f t="shared" si="30"/>
        <v>181.4</v>
      </c>
      <c r="C365" s="62">
        <f t="shared" si="31"/>
        <v>1085191.8350625001</v>
      </c>
      <c r="G365" s="61">
        <v>181.5</v>
      </c>
      <c r="K365" s="61">
        <v>181.5</v>
      </c>
      <c r="M365" s="66"/>
    </row>
    <row r="366" spans="1:13" x14ac:dyDescent="0.4">
      <c r="A366" s="61">
        <v>182</v>
      </c>
      <c r="B366" s="62">
        <f t="shared" si="30"/>
        <v>181.9</v>
      </c>
      <c r="C366" s="62">
        <f t="shared" si="31"/>
        <v>1097199.3760000002</v>
      </c>
      <c r="G366" s="61">
        <v>182</v>
      </c>
      <c r="K366" s="61">
        <v>182</v>
      </c>
      <c r="M366" s="66"/>
    </row>
    <row r="367" spans="1:13" x14ac:dyDescent="0.4">
      <c r="A367" s="61">
        <v>182.5</v>
      </c>
      <c r="B367" s="62">
        <f t="shared" si="30"/>
        <v>182.4</v>
      </c>
      <c r="C367" s="62">
        <f t="shared" si="31"/>
        <v>1109306.2890625</v>
      </c>
      <c r="G367" s="61">
        <v>182.5</v>
      </c>
      <c r="K367" s="61">
        <v>182.5</v>
      </c>
      <c r="M367" s="66"/>
    </row>
    <row r="368" spans="1:13" x14ac:dyDescent="0.4">
      <c r="A368" s="61">
        <v>183</v>
      </c>
      <c r="B368" s="62">
        <f t="shared" si="30"/>
        <v>182.9</v>
      </c>
      <c r="C368" s="62">
        <f t="shared" si="31"/>
        <v>1121513.1210000003</v>
      </c>
      <c r="G368" s="61">
        <v>183</v>
      </c>
      <c r="K368" s="61">
        <v>183</v>
      </c>
      <c r="M368" s="66"/>
    </row>
    <row r="369" spans="1:13" x14ac:dyDescent="0.4">
      <c r="A369" s="61">
        <v>183.5</v>
      </c>
      <c r="B369" s="62">
        <f t="shared" si="30"/>
        <v>183.4</v>
      </c>
      <c r="C369" s="62">
        <f t="shared" si="31"/>
        <v>1133820.4200624998</v>
      </c>
      <c r="G369" s="61">
        <v>183.5</v>
      </c>
      <c r="K369" s="61">
        <v>183.5</v>
      </c>
      <c r="M369" s="66"/>
    </row>
    <row r="370" spans="1:13" x14ac:dyDescent="0.4">
      <c r="A370" s="61">
        <v>184</v>
      </c>
      <c r="B370" s="62">
        <f t="shared" si="30"/>
        <v>183.9</v>
      </c>
      <c r="C370" s="62">
        <f t="shared" si="31"/>
        <v>1146228.736</v>
      </c>
      <c r="G370" s="61">
        <v>184</v>
      </c>
      <c r="K370" s="61">
        <v>184</v>
      </c>
      <c r="M370" s="66"/>
    </row>
    <row r="371" spans="1:13" x14ac:dyDescent="0.4">
      <c r="A371" s="61">
        <v>184.5</v>
      </c>
      <c r="B371" s="62">
        <f t="shared" si="30"/>
        <v>184.4</v>
      </c>
      <c r="C371" s="62">
        <f t="shared" si="31"/>
        <v>1158738.6200625</v>
      </c>
      <c r="G371" s="61">
        <v>184.5</v>
      </c>
      <c r="K371" s="61">
        <v>184.5</v>
      </c>
      <c r="M371" s="66"/>
    </row>
    <row r="372" spans="1:13" x14ac:dyDescent="0.4">
      <c r="A372" s="61">
        <v>185</v>
      </c>
      <c r="B372" s="62">
        <f t="shared" si="30"/>
        <v>184.9</v>
      </c>
      <c r="C372" s="62">
        <f t="shared" si="31"/>
        <v>1171350.6250000002</v>
      </c>
      <c r="G372" s="61">
        <v>185</v>
      </c>
      <c r="K372" s="61">
        <v>185</v>
      </c>
      <c r="M372" s="66"/>
    </row>
    <row r="373" spans="1:13" x14ac:dyDescent="0.4">
      <c r="A373" s="61">
        <v>185.5</v>
      </c>
      <c r="B373" s="62">
        <f t="shared" si="30"/>
        <v>185.4</v>
      </c>
      <c r="C373" s="62">
        <f t="shared" si="31"/>
        <v>1184065.3050624998</v>
      </c>
      <c r="G373" s="61">
        <v>185.5</v>
      </c>
      <c r="K373" s="61">
        <v>185.5</v>
      </c>
      <c r="M373" s="66"/>
    </row>
    <row r="374" spans="1:13" x14ac:dyDescent="0.4">
      <c r="A374" s="61">
        <v>186</v>
      </c>
      <c r="B374" s="62">
        <f t="shared" si="30"/>
        <v>185.9</v>
      </c>
      <c r="C374" s="62">
        <f t="shared" si="31"/>
        <v>1196883.2160000002</v>
      </c>
      <c r="G374" s="61">
        <v>186</v>
      </c>
      <c r="K374" s="61">
        <v>186</v>
      </c>
      <c r="M374" s="66"/>
    </row>
    <row r="375" spans="1:13" x14ac:dyDescent="0.4">
      <c r="A375" s="61">
        <v>186.5</v>
      </c>
      <c r="B375" s="62">
        <f t="shared" si="30"/>
        <v>186.4</v>
      </c>
      <c r="C375" s="62">
        <f t="shared" si="31"/>
        <v>1209804.9150624999</v>
      </c>
      <c r="G375" s="61">
        <v>186.5</v>
      </c>
      <c r="K375" s="61">
        <v>186.5</v>
      </c>
      <c r="M375" s="66"/>
    </row>
    <row r="376" spans="1:13" x14ac:dyDescent="0.4">
      <c r="A376" s="61">
        <v>187</v>
      </c>
      <c r="B376" s="62">
        <f t="shared" si="30"/>
        <v>186.9</v>
      </c>
      <c r="C376" s="62">
        <f t="shared" si="31"/>
        <v>1222830.9610000004</v>
      </c>
      <c r="G376" s="61">
        <v>187</v>
      </c>
      <c r="K376" s="61">
        <v>187</v>
      </c>
      <c r="M376" s="66"/>
    </row>
    <row r="377" spans="1:13" x14ac:dyDescent="0.4">
      <c r="A377" s="61">
        <v>187.5</v>
      </c>
      <c r="B377" s="62">
        <f t="shared" si="30"/>
        <v>187.4</v>
      </c>
      <c r="C377" s="62">
        <f t="shared" si="31"/>
        <v>1235961.9140625</v>
      </c>
      <c r="G377" s="61">
        <v>187.5</v>
      </c>
      <c r="K377" s="61">
        <v>187.5</v>
      </c>
      <c r="M377" s="66"/>
    </row>
    <row r="378" spans="1:13" x14ac:dyDescent="0.4">
      <c r="A378" s="61">
        <v>188</v>
      </c>
      <c r="B378" s="62">
        <f t="shared" si="30"/>
        <v>187.9</v>
      </c>
      <c r="C378" s="62">
        <f t="shared" si="31"/>
        <v>1249198.3359999999</v>
      </c>
      <c r="G378" s="61">
        <v>188</v>
      </c>
      <c r="K378" s="61">
        <v>188</v>
      </c>
      <c r="M378" s="66"/>
    </row>
    <row r="379" spans="1:13" x14ac:dyDescent="0.4">
      <c r="A379" s="61">
        <v>188.5</v>
      </c>
      <c r="B379" s="62">
        <f t="shared" si="30"/>
        <v>188.4</v>
      </c>
      <c r="C379" s="62">
        <f t="shared" si="31"/>
        <v>1262540.7900624999</v>
      </c>
      <c r="G379" s="61">
        <v>188.5</v>
      </c>
      <c r="K379" s="61">
        <v>188.5</v>
      </c>
      <c r="M379" s="66"/>
    </row>
    <row r="380" spans="1:13" x14ac:dyDescent="0.4">
      <c r="A380" s="61">
        <v>189</v>
      </c>
      <c r="B380" s="62">
        <f t="shared" si="30"/>
        <v>188.9</v>
      </c>
      <c r="C380" s="62">
        <f t="shared" si="31"/>
        <v>1275989.8409999998</v>
      </c>
      <c r="G380" s="61">
        <v>189</v>
      </c>
      <c r="K380" s="61">
        <v>189</v>
      </c>
      <c r="M380" s="66"/>
    </row>
    <row r="381" spans="1:13" x14ac:dyDescent="0.4">
      <c r="A381" s="61">
        <v>189.5</v>
      </c>
      <c r="B381" s="62">
        <f t="shared" si="30"/>
        <v>189.4</v>
      </c>
      <c r="C381" s="62">
        <f t="shared" si="31"/>
        <v>1289546.0550625001</v>
      </c>
      <c r="G381" s="61">
        <v>189.5</v>
      </c>
      <c r="K381" s="61">
        <v>189.5</v>
      </c>
      <c r="M381" s="66"/>
    </row>
    <row r="382" spans="1:13" x14ac:dyDescent="0.4">
      <c r="A382" s="61">
        <v>190</v>
      </c>
      <c r="B382" s="62">
        <f t="shared" si="30"/>
        <v>189.9</v>
      </c>
      <c r="C382" s="62">
        <f t="shared" si="31"/>
        <v>1303210</v>
      </c>
      <c r="E382" s="62">
        <f>I382*1000</f>
        <v>808888.96551724139</v>
      </c>
      <c r="G382" s="61">
        <v>190</v>
      </c>
      <c r="I382" s="63">
        <f>(18/29)*(C382)/1000</f>
        <v>808.88896551724145</v>
      </c>
      <c r="J382" s="64">
        <f>((22.41/273)*(A382+273))*((1/29)+((1/18)*I382))</f>
        <v>1709.2662933308075</v>
      </c>
      <c r="K382" s="61">
        <v>190</v>
      </c>
      <c r="M382" s="66"/>
    </row>
    <row r="383" spans="1:13" x14ac:dyDescent="0.4">
      <c r="A383" s="61">
        <v>190.5</v>
      </c>
      <c r="B383" s="62">
        <f t="shared" si="30"/>
        <v>190.4</v>
      </c>
      <c r="C383" s="62">
        <f t="shared" si="31"/>
        <v>1316982.2450625</v>
      </c>
      <c r="G383" s="61">
        <v>190.5</v>
      </c>
      <c r="K383" s="61">
        <v>190.5</v>
      </c>
      <c r="M383" s="66"/>
    </row>
    <row r="384" spans="1:13" x14ac:dyDescent="0.4">
      <c r="A384" s="61">
        <v>191</v>
      </c>
      <c r="B384" s="62">
        <f t="shared" si="30"/>
        <v>190.9</v>
      </c>
      <c r="C384" s="62">
        <f t="shared" si="31"/>
        <v>1330863.361</v>
      </c>
      <c r="G384" s="61">
        <v>191</v>
      </c>
      <c r="K384" s="61">
        <v>191</v>
      </c>
      <c r="M384" s="66"/>
    </row>
    <row r="385" spans="1:13" x14ac:dyDescent="0.4">
      <c r="A385" s="61">
        <v>191.5</v>
      </c>
      <c r="B385" s="62">
        <f t="shared" si="30"/>
        <v>191.4</v>
      </c>
      <c r="C385" s="62">
        <f t="shared" si="31"/>
        <v>1344853.9200625001</v>
      </c>
      <c r="G385" s="61">
        <v>191.5</v>
      </c>
      <c r="K385" s="61">
        <v>191.5</v>
      </c>
      <c r="M385" s="66"/>
    </row>
    <row r="386" spans="1:13" x14ac:dyDescent="0.4">
      <c r="A386" s="61">
        <v>192</v>
      </c>
      <c r="B386" s="62">
        <f t="shared" ref="B386:B449" si="32">A386-0.1</f>
        <v>191.9</v>
      </c>
      <c r="C386" s="62">
        <f t="shared" si="31"/>
        <v>1358954.496</v>
      </c>
      <c r="G386" s="61">
        <v>192</v>
      </c>
      <c r="K386" s="61">
        <v>192</v>
      </c>
      <c r="M386" s="66"/>
    </row>
    <row r="387" spans="1:13" x14ac:dyDescent="0.4">
      <c r="A387" s="61">
        <v>192.5</v>
      </c>
      <c r="B387" s="62">
        <f t="shared" si="32"/>
        <v>192.4</v>
      </c>
      <c r="C387" s="62">
        <f t="shared" si="31"/>
        <v>1373165.6640625002</v>
      </c>
      <c r="G387" s="61">
        <v>192.5</v>
      </c>
      <c r="K387" s="61">
        <v>192.5</v>
      </c>
      <c r="M387" s="66"/>
    </row>
    <row r="388" spans="1:13" x14ac:dyDescent="0.4">
      <c r="A388" s="61">
        <v>193</v>
      </c>
      <c r="B388" s="62">
        <f t="shared" si="32"/>
        <v>192.9</v>
      </c>
      <c r="C388" s="62">
        <f t="shared" si="31"/>
        <v>1387488.0009999999</v>
      </c>
      <c r="G388" s="61">
        <v>193</v>
      </c>
      <c r="K388" s="61">
        <v>193</v>
      </c>
      <c r="M388" s="66"/>
    </row>
    <row r="389" spans="1:13" x14ac:dyDescent="0.4">
      <c r="A389" s="61">
        <v>193.5</v>
      </c>
      <c r="B389" s="62">
        <f t="shared" si="32"/>
        <v>193.4</v>
      </c>
      <c r="C389" s="62">
        <f t="shared" si="31"/>
        <v>1401922.0850625001</v>
      </c>
      <c r="G389" s="61">
        <v>193.5</v>
      </c>
      <c r="K389" s="61">
        <v>193.5</v>
      </c>
      <c r="M389" s="66"/>
    </row>
    <row r="390" spans="1:13" x14ac:dyDescent="0.4">
      <c r="A390" s="61">
        <v>194</v>
      </c>
      <c r="B390" s="62">
        <f t="shared" si="32"/>
        <v>193.9</v>
      </c>
      <c r="C390" s="62">
        <f t="shared" si="31"/>
        <v>1416468.4959999998</v>
      </c>
      <c r="G390" s="61">
        <v>194</v>
      </c>
      <c r="K390" s="61">
        <v>194</v>
      </c>
      <c r="M390" s="66"/>
    </row>
    <row r="391" spans="1:13" x14ac:dyDescent="0.4">
      <c r="A391" s="61">
        <v>194.5</v>
      </c>
      <c r="B391" s="62">
        <f t="shared" si="32"/>
        <v>194.4</v>
      </c>
      <c r="C391" s="62">
        <f t="shared" si="31"/>
        <v>1431127.8150625003</v>
      </c>
      <c r="G391" s="61">
        <v>194.5</v>
      </c>
      <c r="K391" s="61">
        <v>194.5</v>
      </c>
      <c r="M391" s="66"/>
    </row>
    <row r="392" spans="1:13" x14ac:dyDescent="0.4">
      <c r="A392" s="61">
        <v>195</v>
      </c>
      <c r="B392" s="62">
        <f t="shared" si="32"/>
        <v>194.9</v>
      </c>
      <c r="C392" s="62">
        <f t="shared" si="31"/>
        <v>1445900.6249999998</v>
      </c>
      <c r="G392" s="61">
        <v>195</v>
      </c>
      <c r="K392" s="61">
        <v>195</v>
      </c>
      <c r="M392" s="66"/>
    </row>
    <row r="393" spans="1:13" x14ac:dyDescent="0.4">
      <c r="A393" s="61">
        <v>195.5</v>
      </c>
      <c r="B393" s="62">
        <f t="shared" si="32"/>
        <v>195.4</v>
      </c>
      <c r="C393" s="62">
        <f t="shared" si="31"/>
        <v>1460787.5100625004</v>
      </c>
      <c r="G393" s="61">
        <v>195.5</v>
      </c>
      <c r="K393" s="61">
        <v>195.5</v>
      </c>
      <c r="M393" s="66"/>
    </row>
    <row r="394" spans="1:13" x14ac:dyDescent="0.4">
      <c r="A394" s="61">
        <v>196</v>
      </c>
      <c r="B394" s="62">
        <f t="shared" si="32"/>
        <v>195.9</v>
      </c>
      <c r="C394" s="62">
        <f t="shared" si="31"/>
        <v>1475789.0559999999</v>
      </c>
      <c r="G394" s="61">
        <v>196</v>
      </c>
      <c r="K394" s="61">
        <v>196</v>
      </c>
      <c r="M394" s="66"/>
    </row>
    <row r="395" spans="1:13" x14ac:dyDescent="0.4">
      <c r="A395" s="61">
        <v>196.5</v>
      </c>
      <c r="B395" s="62">
        <f t="shared" si="32"/>
        <v>196.4</v>
      </c>
      <c r="C395" s="62">
        <f t="shared" ref="C395:C402" si="33">((A395/100)^4)*100000</f>
        <v>1490905.8500625</v>
      </c>
      <c r="G395" s="61">
        <v>196.5</v>
      </c>
      <c r="K395" s="61">
        <v>196.5</v>
      </c>
      <c r="M395" s="66"/>
    </row>
    <row r="396" spans="1:13" x14ac:dyDescent="0.4">
      <c r="A396" s="61">
        <v>197</v>
      </c>
      <c r="B396" s="62">
        <f t="shared" si="32"/>
        <v>196.9</v>
      </c>
      <c r="C396" s="62">
        <f t="shared" si="33"/>
        <v>1506138.4809999999</v>
      </c>
      <c r="G396" s="61">
        <v>197</v>
      </c>
      <c r="K396" s="61">
        <v>197</v>
      </c>
      <c r="M396" s="66"/>
    </row>
    <row r="397" spans="1:13" x14ac:dyDescent="0.4">
      <c r="A397" s="61">
        <v>197.5</v>
      </c>
      <c r="B397" s="62">
        <f t="shared" si="32"/>
        <v>197.4</v>
      </c>
      <c r="C397" s="62">
        <f t="shared" si="33"/>
        <v>1521487.5390625002</v>
      </c>
      <c r="G397" s="61">
        <v>197.5</v>
      </c>
      <c r="K397" s="61">
        <v>197.5</v>
      </c>
      <c r="M397" s="66"/>
    </row>
    <row r="398" spans="1:13" x14ac:dyDescent="0.4">
      <c r="A398" s="61">
        <v>198</v>
      </c>
      <c r="B398" s="62">
        <f t="shared" si="32"/>
        <v>197.9</v>
      </c>
      <c r="C398" s="62">
        <f t="shared" si="33"/>
        <v>1536953.6159999999</v>
      </c>
      <c r="G398" s="61">
        <v>198</v>
      </c>
      <c r="K398" s="61">
        <v>198</v>
      </c>
      <c r="M398" s="66"/>
    </row>
    <row r="399" spans="1:13" x14ac:dyDescent="0.4">
      <c r="A399" s="61">
        <v>198.5</v>
      </c>
      <c r="B399" s="62">
        <f t="shared" si="32"/>
        <v>198.4</v>
      </c>
      <c r="C399" s="62">
        <f t="shared" si="33"/>
        <v>1552537.3050625003</v>
      </c>
      <c r="G399" s="61">
        <v>198.5</v>
      </c>
      <c r="K399" s="61">
        <v>198.5</v>
      </c>
      <c r="M399" s="66"/>
    </row>
    <row r="400" spans="1:13" x14ac:dyDescent="0.4">
      <c r="A400" s="61">
        <v>199</v>
      </c>
      <c r="B400" s="62">
        <f t="shared" si="32"/>
        <v>198.9</v>
      </c>
      <c r="C400" s="62">
        <f t="shared" si="33"/>
        <v>1568239.2010000001</v>
      </c>
      <c r="G400" s="61">
        <v>199</v>
      </c>
      <c r="K400" s="61">
        <v>199</v>
      </c>
      <c r="M400" s="66"/>
    </row>
    <row r="401" spans="1:13" x14ac:dyDescent="0.4">
      <c r="A401" s="61">
        <v>199.5</v>
      </c>
      <c r="B401" s="62">
        <f t="shared" si="32"/>
        <v>199.4</v>
      </c>
      <c r="C401" s="62">
        <f t="shared" si="33"/>
        <v>1584059.9000625003</v>
      </c>
      <c r="G401" s="61">
        <v>199.5</v>
      </c>
      <c r="K401" s="61">
        <v>199.5</v>
      </c>
      <c r="M401" s="66"/>
    </row>
    <row r="402" spans="1:13" x14ac:dyDescent="0.4">
      <c r="A402" s="61">
        <v>200</v>
      </c>
      <c r="B402" s="62">
        <f t="shared" si="32"/>
        <v>199.9</v>
      </c>
      <c r="C402" s="62">
        <f t="shared" si="33"/>
        <v>1600000</v>
      </c>
      <c r="E402" s="62">
        <f>I402*1000</f>
        <v>993103.44827586215</v>
      </c>
      <c r="G402" s="61">
        <v>200</v>
      </c>
      <c r="I402" s="63">
        <f>(18/29)*(C402)/1000</f>
        <v>993.10344827586209</v>
      </c>
      <c r="J402" s="64">
        <f>((22.41/273)*(A402+273))*((1/29)+((1/18)*I402))</f>
        <v>2143.5503258810154</v>
      </c>
      <c r="K402" s="61">
        <v>200</v>
      </c>
      <c r="M402" s="66"/>
    </row>
    <row r="403" spans="1:13" x14ac:dyDescent="0.4">
      <c r="A403" s="68">
        <v>200.5</v>
      </c>
      <c r="B403" s="68">
        <f t="shared" si="32"/>
        <v>200.4</v>
      </c>
      <c r="C403" s="68"/>
      <c r="D403" s="68"/>
      <c r="F403" s="68"/>
      <c r="G403" s="68">
        <v>200.5</v>
      </c>
      <c r="H403" s="68"/>
      <c r="I403" s="69"/>
      <c r="J403" s="68"/>
      <c r="K403" s="68">
        <v>200.5</v>
      </c>
      <c r="M403" s="66"/>
    </row>
    <row r="404" spans="1:13" x14ac:dyDescent="0.4">
      <c r="A404" s="68">
        <v>201</v>
      </c>
      <c r="B404" s="68">
        <f t="shared" si="32"/>
        <v>200.9</v>
      </c>
      <c r="C404" s="68"/>
      <c r="D404" s="68"/>
      <c r="F404" s="68"/>
      <c r="G404" s="68">
        <v>201</v>
      </c>
      <c r="H404" s="68"/>
      <c r="I404" s="69"/>
      <c r="J404" s="68"/>
      <c r="K404" s="68">
        <v>201</v>
      </c>
      <c r="M404" s="66"/>
    </row>
    <row r="405" spans="1:13" x14ac:dyDescent="0.4">
      <c r="A405" s="68">
        <v>201.5</v>
      </c>
      <c r="B405" s="68">
        <f t="shared" si="32"/>
        <v>201.4</v>
      </c>
      <c r="C405" s="68"/>
      <c r="D405" s="68"/>
      <c r="F405" s="68"/>
      <c r="G405" s="68">
        <v>201.5</v>
      </c>
      <c r="H405" s="68"/>
      <c r="I405" s="69"/>
      <c r="J405" s="68"/>
      <c r="K405" s="68">
        <v>201.5</v>
      </c>
      <c r="M405" s="66"/>
    </row>
    <row r="406" spans="1:13" x14ac:dyDescent="0.4">
      <c r="A406" s="68">
        <v>202</v>
      </c>
      <c r="B406" s="68">
        <f t="shared" si="32"/>
        <v>201.9</v>
      </c>
      <c r="C406" s="68"/>
      <c r="D406" s="68"/>
      <c r="F406" s="68"/>
      <c r="G406" s="68">
        <v>202</v>
      </c>
      <c r="H406" s="68"/>
      <c r="I406" s="69"/>
      <c r="J406" s="68"/>
      <c r="K406" s="68">
        <v>202</v>
      </c>
      <c r="M406" s="66"/>
    </row>
    <row r="407" spans="1:13" x14ac:dyDescent="0.4">
      <c r="A407" s="68">
        <v>202.5</v>
      </c>
      <c r="B407" s="68">
        <f t="shared" si="32"/>
        <v>202.4</v>
      </c>
      <c r="C407" s="68"/>
      <c r="D407" s="68"/>
      <c r="F407" s="68"/>
      <c r="G407" s="68">
        <v>202.5</v>
      </c>
      <c r="H407" s="68"/>
      <c r="I407" s="69"/>
      <c r="J407" s="68"/>
      <c r="K407" s="68">
        <v>202.5</v>
      </c>
      <c r="M407" s="66"/>
    </row>
    <row r="408" spans="1:13" x14ac:dyDescent="0.4">
      <c r="A408" s="68">
        <v>203</v>
      </c>
      <c r="B408" s="68">
        <f t="shared" si="32"/>
        <v>202.9</v>
      </c>
      <c r="C408" s="68"/>
      <c r="D408" s="68"/>
      <c r="F408" s="68"/>
      <c r="G408" s="68">
        <v>203</v>
      </c>
      <c r="H408" s="68"/>
      <c r="I408" s="69"/>
      <c r="J408" s="68"/>
      <c r="K408" s="68">
        <v>203</v>
      </c>
      <c r="M408" s="66"/>
    </row>
    <row r="409" spans="1:13" x14ac:dyDescent="0.4">
      <c r="A409" s="68">
        <v>203.5</v>
      </c>
      <c r="B409" s="68">
        <f t="shared" si="32"/>
        <v>203.4</v>
      </c>
      <c r="C409" s="68"/>
      <c r="D409" s="68"/>
      <c r="F409" s="68"/>
      <c r="G409" s="68">
        <v>203.5</v>
      </c>
      <c r="H409" s="68"/>
      <c r="I409" s="69"/>
      <c r="J409" s="68"/>
      <c r="K409" s="68">
        <v>203.5</v>
      </c>
      <c r="M409" s="66"/>
    </row>
    <row r="410" spans="1:13" x14ac:dyDescent="0.4">
      <c r="A410" s="68">
        <v>204</v>
      </c>
      <c r="B410" s="68">
        <f t="shared" si="32"/>
        <v>203.9</v>
      </c>
      <c r="C410" s="68"/>
      <c r="D410" s="68"/>
      <c r="F410" s="68"/>
      <c r="G410" s="68">
        <v>204</v>
      </c>
      <c r="H410" s="68"/>
      <c r="I410" s="69"/>
      <c r="J410" s="68"/>
      <c r="K410" s="68">
        <v>204</v>
      </c>
      <c r="M410" s="66"/>
    </row>
    <row r="411" spans="1:13" x14ac:dyDescent="0.4">
      <c r="A411" s="68">
        <v>204.5</v>
      </c>
      <c r="B411" s="68">
        <f t="shared" si="32"/>
        <v>204.4</v>
      </c>
      <c r="C411" s="68"/>
      <c r="D411" s="68"/>
      <c r="F411" s="68"/>
      <c r="G411" s="68">
        <v>204.5</v>
      </c>
      <c r="H411" s="68"/>
      <c r="I411" s="69"/>
      <c r="J411" s="68"/>
      <c r="K411" s="68">
        <v>204.5</v>
      </c>
      <c r="M411" s="66"/>
    </row>
    <row r="412" spans="1:13" x14ac:dyDescent="0.4">
      <c r="A412" s="68">
        <v>205</v>
      </c>
      <c r="B412" s="68">
        <f t="shared" si="32"/>
        <v>204.9</v>
      </c>
      <c r="C412" s="68"/>
      <c r="D412" s="68"/>
      <c r="F412" s="68"/>
      <c r="G412" s="68">
        <v>205</v>
      </c>
      <c r="H412" s="68"/>
      <c r="I412" s="69"/>
      <c r="J412" s="68"/>
      <c r="K412" s="68">
        <v>205</v>
      </c>
      <c r="M412" s="66"/>
    </row>
    <row r="413" spans="1:13" x14ac:dyDescent="0.4">
      <c r="A413" s="68">
        <v>205.5</v>
      </c>
      <c r="B413" s="68">
        <f t="shared" si="32"/>
        <v>205.4</v>
      </c>
      <c r="C413" s="68"/>
      <c r="D413" s="68"/>
      <c r="F413" s="68"/>
      <c r="G413" s="68">
        <v>205.5</v>
      </c>
      <c r="H413" s="68"/>
      <c r="I413" s="69"/>
      <c r="J413" s="68"/>
      <c r="K413" s="68">
        <v>205.5</v>
      </c>
      <c r="M413" s="66"/>
    </row>
    <row r="414" spans="1:13" x14ac:dyDescent="0.4">
      <c r="A414" s="68">
        <v>206</v>
      </c>
      <c r="B414" s="68">
        <f t="shared" si="32"/>
        <v>205.9</v>
      </c>
      <c r="C414" s="68"/>
      <c r="D414" s="68"/>
      <c r="F414" s="68"/>
      <c r="G414" s="68">
        <v>206</v>
      </c>
      <c r="H414" s="68"/>
      <c r="I414" s="69"/>
      <c r="J414" s="68"/>
      <c r="K414" s="68">
        <v>206</v>
      </c>
      <c r="M414" s="66"/>
    </row>
    <row r="415" spans="1:13" x14ac:dyDescent="0.4">
      <c r="A415" s="68">
        <v>206.5</v>
      </c>
      <c r="B415" s="68">
        <f t="shared" si="32"/>
        <v>206.4</v>
      </c>
      <c r="C415" s="68"/>
      <c r="D415" s="68"/>
      <c r="F415" s="68"/>
      <c r="G415" s="68">
        <v>206.5</v>
      </c>
      <c r="H415" s="68"/>
      <c r="I415" s="69"/>
      <c r="J415" s="68"/>
      <c r="K415" s="68">
        <v>206.5</v>
      </c>
      <c r="M415" s="66"/>
    </row>
    <row r="416" spans="1:13" x14ac:dyDescent="0.4">
      <c r="A416" s="68">
        <v>207</v>
      </c>
      <c r="B416" s="68">
        <f t="shared" si="32"/>
        <v>206.9</v>
      </c>
      <c r="C416" s="68"/>
      <c r="D416" s="68"/>
      <c r="F416" s="68"/>
      <c r="G416" s="68">
        <v>207</v>
      </c>
      <c r="H416" s="68"/>
      <c r="I416" s="69"/>
      <c r="J416" s="68"/>
      <c r="K416" s="68">
        <v>207</v>
      </c>
      <c r="M416" s="66"/>
    </row>
    <row r="417" spans="1:13" x14ac:dyDescent="0.4">
      <c r="A417" s="68">
        <v>207.5</v>
      </c>
      <c r="B417" s="68">
        <f t="shared" si="32"/>
        <v>207.4</v>
      </c>
      <c r="C417" s="68"/>
      <c r="D417" s="68"/>
      <c r="F417" s="68"/>
      <c r="G417" s="68">
        <v>207.5</v>
      </c>
      <c r="H417" s="68"/>
      <c r="I417" s="69"/>
      <c r="J417" s="68"/>
      <c r="K417" s="68">
        <v>207.5</v>
      </c>
      <c r="M417" s="66"/>
    </row>
    <row r="418" spans="1:13" x14ac:dyDescent="0.4">
      <c r="A418" s="68">
        <v>208</v>
      </c>
      <c r="B418" s="68">
        <f t="shared" si="32"/>
        <v>207.9</v>
      </c>
      <c r="C418" s="68"/>
      <c r="D418" s="68"/>
      <c r="F418" s="68"/>
      <c r="G418" s="68">
        <v>208</v>
      </c>
      <c r="H418" s="68"/>
      <c r="I418" s="69"/>
      <c r="J418" s="68"/>
      <c r="K418" s="68">
        <v>208</v>
      </c>
      <c r="M418" s="66"/>
    </row>
    <row r="419" spans="1:13" x14ac:dyDescent="0.4">
      <c r="A419" s="68">
        <v>208.5</v>
      </c>
      <c r="B419" s="68">
        <f t="shared" si="32"/>
        <v>208.4</v>
      </c>
      <c r="C419" s="68"/>
      <c r="D419" s="68"/>
      <c r="F419" s="68"/>
      <c r="G419" s="68">
        <v>208.5</v>
      </c>
      <c r="H419" s="68"/>
      <c r="I419" s="69"/>
      <c r="J419" s="68"/>
      <c r="K419" s="68">
        <v>208.5</v>
      </c>
      <c r="M419" s="66"/>
    </row>
    <row r="420" spans="1:13" x14ac:dyDescent="0.4">
      <c r="A420" s="68">
        <v>209</v>
      </c>
      <c r="B420" s="68">
        <f t="shared" si="32"/>
        <v>208.9</v>
      </c>
      <c r="C420" s="68"/>
      <c r="D420" s="68"/>
      <c r="F420" s="68"/>
      <c r="G420" s="68">
        <v>209</v>
      </c>
      <c r="H420" s="68"/>
      <c r="I420" s="69"/>
      <c r="J420" s="68"/>
      <c r="K420" s="68">
        <v>209</v>
      </c>
      <c r="M420" s="66"/>
    </row>
    <row r="421" spans="1:13" x14ac:dyDescent="0.4">
      <c r="A421" s="68">
        <v>209.5</v>
      </c>
      <c r="B421" s="68">
        <f t="shared" si="32"/>
        <v>209.4</v>
      </c>
      <c r="C421" s="68"/>
      <c r="D421" s="68"/>
      <c r="F421" s="68"/>
      <c r="G421" s="68">
        <v>209.5</v>
      </c>
      <c r="H421" s="68"/>
      <c r="I421" s="69"/>
      <c r="J421" s="68"/>
      <c r="K421" s="68">
        <v>209.5</v>
      </c>
      <c r="M421" s="66"/>
    </row>
    <row r="422" spans="1:13" x14ac:dyDescent="0.4">
      <c r="A422" s="68">
        <v>210</v>
      </c>
      <c r="B422" s="68">
        <f t="shared" si="32"/>
        <v>209.9</v>
      </c>
      <c r="C422" s="68"/>
      <c r="D422" s="68"/>
      <c r="F422" s="68"/>
      <c r="G422" s="68">
        <v>210</v>
      </c>
      <c r="H422" s="68"/>
      <c r="I422" s="69"/>
      <c r="J422" s="68"/>
      <c r="K422" s="68">
        <v>210</v>
      </c>
      <c r="M422" s="66"/>
    </row>
    <row r="423" spans="1:13" x14ac:dyDescent="0.4">
      <c r="A423" s="68">
        <v>210.5</v>
      </c>
      <c r="B423" s="68">
        <f t="shared" si="32"/>
        <v>210.4</v>
      </c>
      <c r="C423" s="68"/>
      <c r="D423" s="68"/>
      <c r="F423" s="68"/>
      <c r="G423" s="68">
        <v>210.5</v>
      </c>
      <c r="H423" s="68"/>
      <c r="I423" s="69"/>
      <c r="J423" s="68"/>
      <c r="K423" s="68">
        <v>210.5</v>
      </c>
      <c r="M423" s="66"/>
    </row>
    <row r="424" spans="1:13" x14ac:dyDescent="0.4">
      <c r="A424" s="68">
        <v>211</v>
      </c>
      <c r="B424" s="68">
        <f t="shared" si="32"/>
        <v>210.9</v>
      </c>
      <c r="C424" s="68"/>
      <c r="D424" s="68"/>
      <c r="F424" s="68"/>
      <c r="G424" s="68">
        <v>211</v>
      </c>
      <c r="H424" s="68"/>
      <c r="I424" s="69"/>
      <c r="J424" s="68"/>
      <c r="K424" s="68">
        <v>211</v>
      </c>
      <c r="M424" s="66"/>
    </row>
    <row r="425" spans="1:13" x14ac:dyDescent="0.4">
      <c r="A425" s="68">
        <v>211.5</v>
      </c>
      <c r="B425" s="68">
        <f t="shared" si="32"/>
        <v>211.4</v>
      </c>
      <c r="C425" s="68"/>
      <c r="D425" s="68"/>
      <c r="F425" s="68"/>
      <c r="G425" s="68">
        <v>211.5</v>
      </c>
      <c r="H425" s="68"/>
      <c r="I425" s="69"/>
      <c r="J425" s="68"/>
      <c r="K425" s="68">
        <v>211.5</v>
      </c>
      <c r="M425" s="66"/>
    </row>
    <row r="426" spans="1:13" x14ac:dyDescent="0.4">
      <c r="A426" s="68">
        <v>212</v>
      </c>
      <c r="B426" s="68">
        <f t="shared" si="32"/>
        <v>211.9</v>
      </c>
      <c r="C426" s="68"/>
      <c r="D426" s="68"/>
      <c r="F426" s="68"/>
      <c r="G426" s="68">
        <v>212</v>
      </c>
      <c r="H426" s="68"/>
      <c r="I426" s="69"/>
      <c r="J426" s="68"/>
      <c r="K426" s="68">
        <v>212</v>
      </c>
      <c r="M426" s="66"/>
    </row>
    <row r="427" spans="1:13" x14ac:dyDescent="0.4">
      <c r="A427" s="68">
        <v>212.5</v>
      </c>
      <c r="B427" s="68">
        <f t="shared" si="32"/>
        <v>212.4</v>
      </c>
      <c r="C427" s="68"/>
      <c r="D427" s="68"/>
      <c r="F427" s="68"/>
      <c r="G427" s="68">
        <v>212.5</v>
      </c>
      <c r="H427" s="68"/>
      <c r="I427" s="69"/>
      <c r="J427" s="68"/>
      <c r="K427" s="68">
        <v>212.5</v>
      </c>
      <c r="M427" s="66"/>
    </row>
    <row r="428" spans="1:13" x14ac:dyDescent="0.4">
      <c r="A428" s="68">
        <v>213</v>
      </c>
      <c r="B428" s="68">
        <f t="shared" si="32"/>
        <v>212.9</v>
      </c>
      <c r="C428" s="68"/>
      <c r="D428" s="68"/>
      <c r="F428" s="68"/>
      <c r="G428" s="68">
        <v>213</v>
      </c>
      <c r="H428" s="68"/>
      <c r="I428" s="69"/>
      <c r="J428" s="68"/>
      <c r="K428" s="68">
        <v>213</v>
      </c>
      <c r="M428" s="66"/>
    </row>
    <row r="429" spans="1:13" x14ac:dyDescent="0.4">
      <c r="A429" s="68">
        <v>213.5</v>
      </c>
      <c r="B429" s="68">
        <f t="shared" si="32"/>
        <v>213.4</v>
      </c>
      <c r="C429" s="68"/>
      <c r="D429" s="68"/>
      <c r="F429" s="68"/>
      <c r="G429" s="68">
        <v>213.5</v>
      </c>
      <c r="H429" s="68"/>
      <c r="I429" s="69"/>
      <c r="J429" s="68"/>
      <c r="K429" s="68">
        <v>213.5</v>
      </c>
      <c r="M429" s="66"/>
    </row>
    <row r="430" spans="1:13" x14ac:dyDescent="0.4">
      <c r="A430" s="68">
        <v>214</v>
      </c>
      <c r="B430" s="68">
        <f t="shared" si="32"/>
        <v>213.9</v>
      </c>
      <c r="C430" s="68"/>
      <c r="D430" s="68"/>
      <c r="F430" s="68"/>
      <c r="G430" s="68">
        <v>214</v>
      </c>
      <c r="H430" s="68"/>
      <c r="I430" s="69"/>
      <c r="J430" s="68"/>
      <c r="K430" s="68">
        <v>214</v>
      </c>
      <c r="M430" s="66"/>
    </row>
    <row r="431" spans="1:13" x14ac:dyDescent="0.4">
      <c r="A431" s="68">
        <v>214.5</v>
      </c>
      <c r="B431" s="68">
        <f t="shared" si="32"/>
        <v>214.4</v>
      </c>
      <c r="C431" s="68"/>
      <c r="D431" s="68"/>
      <c r="F431" s="68"/>
      <c r="G431" s="68">
        <v>214.5</v>
      </c>
      <c r="H431" s="68"/>
      <c r="I431" s="69"/>
      <c r="J431" s="68"/>
      <c r="K431" s="68">
        <v>214.5</v>
      </c>
      <c r="M431" s="66"/>
    </row>
    <row r="432" spans="1:13" x14ac:dyDescent="0.4">
      <c r="A432" s="68">
        <v>215</v>
      </c>
      <c r="B432" s="68">
        <f t="shared" si="32"/>
        <v>214.9</v>
      </c>
      <c r="C432" s="68"/>
      <c r="D432" s="68"/>
      <c r="F432" s="68"/>
      <c r="G432" s="68">
        <v>215</v>
      </c>
      <c r="H432" s="68"/>
      <c r="I432" s="69"/>
      <c r="J432" s="68"/>
      <c r="K432" s="68">
        <v>215</v>
      </c>
      <c r="M432" s="66"/>
    </row>
    <row r="433" spans="1:13" x14ac:dyDescent="0.4">
      <c r="A433" s="68">
        <v>215.5</v>
      </c>
      <c r="B433" s="68">
        <f t="shared" si="32"/>
        <v>215.4</v>
      </c>
      <c r="C433" s="68"/>
      <c r="D433" s="68"/>
      <c r="F433" s="68"/>
      <c r="G433" s="68">
        <v>215.5</v>
      </c>
      <c r="H433" s="68"/>
      <c r="I433" s="69"/>
      <c r="J433" s="68"/>
      <c r="K433" s="68">
        <v>215.5</v>
      </c>
      <c r="M433" s="66"/>
    </row>
    <row r="434" spans="1:13" x14ac:dyDescent="0.4">
      <c r="A434" s="68">
        <v>216</v>
      </c>
      <c r="B434" s="68">
        <f t="shared" si="32"/>
        <v>215.9</v>
      </c>
      <c r="C434" s="68"/>
      <c r="D434" s="68"/>
      <c r="F434" s="68"/>
      <c r="G434" s="68">
        <v>216</v>
      </c>
      <c r="H434" s="68"/>
      <c r="I434" s="69"/>
      <c r="J434" s="68"/>
      <c r="K434" s="68">
        <v>216</v>
      </c>
      <c r="M434" s="66"/>
    </row>
    <row r="435" spans="1:13" x14ac:dyDescent="0.4">
      <c r="A435" s="68">
        <v>216.5</v>
      </c>
      <c r="B435" s="68">
        <f t="shared" si="32"/>
        <v>216.4</v>
      </c>
      <c r="C435" s="68"/>
      <c r="D435" s="68"/>
      <c r="F435" s="68"/>
      <c r="G435" s="68">
        <v>216.5</v>
      </c>
      <c r="H435" s="68"/>
      <c r="I435" s="69"/>
      <c r="J435" s="68"/>
      <c r="K435" s="68">
        <v>216.5</v>
      </c>
      <c r="M435" s="66"/>
    </row>
    <row r="436" spans="1:13" x14ac:dyDescent="0.4">
      <c r="A436" s="68">
        <v>217</v>
      </c>
      <c r="B436" s="68">
        <f t="shared" si="32"/>
        <v>216.9</v>
      </c>
      <c r="C436" s="68"/>
      <c r="D436" s="68"/>
      <c r="F436" s="68"/>
      <c r="G436" s="68">
        <v>217</v>
      </c>
      <c r="H436" s="68"/>
      <c r="I436" s="69"/>
      <c r="J436" s="68"/>
      <c r="K436" s="68">
        <v>217</v>
      </c>
      <c r="M436" s="66"/>
    </row>
    <row r="437" spans="1:13" x14ac:dyDescent="0.4">
      <c r="A437" s="68">
        <v>217.5</v>
      </c>
      <c r="B437" s="68">
        <f t="shared" si="32"/>
        <v>217.4</v>
      </c>
      <c r="C437" s="68"/>
      <c r="D437" s="68"/>
      <c r="F437" s="68"/>
      <c r="G437" s="68">
        <v>217.5</v>
      </c>
      <c r="H437" s="68"/>
      <c r="I437" s="69"/>
      <c r="J437" s="68"/>
      <c r="K437" s="68">
        <v>217.5</v>
      </c>
      <c r="M437" s="66"/>
    </row>
    <row r="438" spans="1:13" x14ac:dyDescent="0.4">
      <c r="A438" s="68">
        <v>218</v>
      </c>
      <c r="B438" s="68">
        <f t="shared" si="32"/>
        <v>217.9</v>
      </c>
      <c r="C438" s="68"/>
      <c r="D438" s="68"/>
      <c r="F438" s="68"/>
      <c r="G438" s="68">
        <v>218</v>
      </c>
      <c r="H438" s="68"/>
      <c r="I438" s="69"/>
      <c r="J438" s="68"/>
      <c r="K438" s="68">
        <v>218</v>
      </c>
      <c r="M438" s="66"/>
    </row>
    <row r="439" spans="1:13" x14ac:dyDescent="0.4">
      <c r="A439" s="68">
        <v>218.5</v>
      </c>
      <c r="B439" s="68">
        <f t="shared" si="32"/>
        <v>218.4</v>
      </c>
      <c r="C439" s="68"/>
      <c r="D439" s="68"/>
      <c r="F439" s="68"/>
      <c r="G439" s="68">
        <v>218.5</v>
      </c>
      <c r="H439" s="68"/>
      <c r="I439" s="69"/>
      <c r="J439" s="68"/>
      <c r="K439" s="68">
        <v>218.5</v>
      </c>
      <c r="M439" s="66"/>
    </row>
    <row r="440" spans="1:13" x14ac:dyDescent="0.4">
      <c r="A440" s="68">
        <v>219</v>
      </c>
      <c r="B440" s="68">
        <f t="shared" si="32"/>
        <v>218.9</v>
      </c>
      <c r="C440" s="68"/>
      <c r="D440" s="68"/>
      <c r="F440" s="68"/>
      <c r="G440" s="68">
        <v>219</v>
      </c>
      <c r="H440" s="68"/>
      <c r="I440" s="69"/>
      <c r="J440" s="68"/>
      <c r="K440" s="68">
        <v>219</v>
      </c>
      <c r="M440" s="66"/>
    </row>
    <row r="441" spans="1:13" x14ac:dyDescent="0.4">
      <c r="A441" s="68">
        <v>219.5</v>
      </c>
      <c r="B441" s="68">
        <f t="shared" si="32"/>
        <v>219.4</v>
      </c>
      <c r="C441" s="68"/>
      <c r="D441" s="68"/>
      <c r="F441" s="68"/>
      <c r="G441" s="68">
        <v>219.5</v>
      </c>
      <c r="H441" s="68"/>
      <c r="I441" s="69"/>
      <c r="J441" s="68"/>
      <c r="K441" s="68">
        <v>219.5</v>
      </c>
      <c r="M441" s="66"/>
    </row>
    <row r="442" spans="1:13" x14ac:dyDescent="0.4">
      <c r="A442" s="68">
        <v>220</v>
      </c>
      <c r="B442" s="68">
        <f t="shared" si="32"/>
        <v>219.9</v>
      </c>
      <c r="C442" s="68">
        <v>2319190</v>
      </c>
      <c r="D442" s="68"/>
      <c r="E442" s="62">
        <f>I442*1000</f>
        <v>1439497.2413793104</v>
      </c>
      <c r="F442" s="68"/>
      <c r="G442" s="68">
        <v>220</v>
      </c>
      <c r="H442" s="68"/>
      <c r="I442" s="69">
        <f>(18/29)*(C442)/1000</f>
        <v>1439.4972413793105</v>
      </c>
      <c r="J442" s="70">
        <f>((22.41/273)*(A442+273))*((1/29)+((1/18)*I442))</f>
        <v>3237.8123967032961</v>
      </c>
      <c r="K442" s="68">
        <v>220</v>
      </c>
      <c r="M442" s="66"/>
    </row>
    <row r="443" spans="1:13" x14ac:dyDescent="0.4">
      <c r="A443" s="68">
        <v>220.5</v>
      </c>
      <c r="B443" s="68">
        <f t="shared" si="32"/>
        <v>220.4</v>
      </c>
      <c r="C443" s="68"/>
      <c r="D443" s="68"/>
      <c r="F443" s="68"/>
      <c r="G443" s="68">
        <v>220.5</v>
      </c>
      <c r="H443" s="68"/>
      <c r="I443" s="69"/>
      <c r="J443" s="68"/>
      <c r="K443" s="68">
        <v>220.5</v>
      </c>
      <c r="M443" s="66"/>
    </row>
    <row r="444" spans="1:13" x14ac:dyDescent="0.4">
      <c r="A444" s="68">
        <v>221</v>
      </c>
      <c r="B444" s="68">
        <f t="shared" si="32"/>
        <v>220.9</v>
      </c>
      <c r="C444" s="68"/>
      <c r="D444" s="68"/>
      <c r="F444" s="68"/>
      <c r="G444" s="68">
        <v>221</v>
      </c>
      <c r="H444" s="68"/>
      <c r="I444" s="69"/>
      <c r="J444" s="68"/>
      <c r="K444" s="68">
        <v>221</v>
      </c>
      <c r="M444" s="66"/>
    </row>
    <row r="445" spans="1:13" x14ac:dyDescent="0.4">
      <c r="A445" s="68">
        <v>221.5</v>
      </c>
      <c r="B445" s="68">
        <f t="shared" si="32"/>
        <v>221.4</v>
      </c>
      <c r="C445" s="68"/>
      <c r="D445" s="68"/>
      <c r="F445" s="68"/>
      <c r="G445" s="68">
        <v>221.5</v>
      </c>
      <c r="H445" s="68"/>
      <c r="I445" s="69"/>
      <c r="J445" s="68"/>
      <c r="K445" s="68">
        <v>221.5</v>
      </c>
      <c r="M445" s="66"/>
    </row>
    <row r="446" spans="1:13" x14ac:dyDescent="0.4">
      <c r="A446" s="68">
        <v>222</v>
      </c>
      <c r="B446" s="68">
        <f t="shared" si="32"/>
        <v>221.9</v>
      </c>
      <c r="C446" s="68"/>
      <c r="D446" s="68"/>
      <c r="F446" s="68"/>
      <c r="G446" s="68">
        <v>222</v>
      </c>
      <c r="H446" s="68"/>
      <c r="I446" s="69"/>
      <c r="J446" s="68"/>
      <c r="K446" s="68">
        <v>222</v>
      </c>
      <c r="M446" s="66"/>
    </row>
    <row r="447" spans="1:13" x14ac:dyDescent="0.4">
      <c r="A447" s="68">
        <v>222.5</v>
      </c>
      <c r="B447" s="68">
        <f t="shared" si="32"/>
        <v>222.4</v>
      </c>
      <c r="C447" s="68"/>
      <c r="D447" s="68"/>
      <c r="F447" s="68"/>
      <c r="G447" s="68">
        <v>222.5</v>
      </c>
      <c r="H447" s="68"/>
      <c r="I447" s="69"/>
      <c r="J447" s="68"/>
      <c r="K447" s="68">
        <v>222.5</v>
      </c>
      <c r="M447" s="66"/>
    </row>
    <row r="448" spans="1:13" x14ac:dyDescent="0.4">
      <c r="A448" s="68">
        <v>223</v>
      </c>
      <c r="B448" s="68">
        <f t="shared" si="32"/>
        <v>222.9</v>
      </c>
      <c r="C448" s="68"/>
      <c r="D448" s="68"/>
      <c r="F448" s="68"/>
      <c r="G448" s="68">
        <v>223</v>
      </c>
      <c r="H448" s="68"/>
      <c r="I448" s="69"/>
      <c r="J448" s="68"/>
      <c r="K448" s="68">
        <v>223</v>
      </c>
      <c r="M448" s="66"/>
    </row>
    <row r="449" spans="1:13" x14ac:dyDescent="0.4">
      <c r="A449" s="68">
        <v>223.5</v>
      </c>
      <c r="B449" s="68">
        <f t="shared" si="32"/>
        <v>223.4</v>
      </c>
      <c r="C449" s="68"/>
      <c r="D449" s="68"/>
      <c r="F449" s="68"/>
      <c r="G449" s="68">
        <v>223.5</v>
      </c>
      <c r="H449" s="68"/>
      <c r="I449" s="69"/>
      <c r="J449" s="68"/>
      <c r="K449" s="68">
        <v>223.5</v>
      </c>
      <c r="M449" s="66"/>
    </row>
    <row r="450" spans="1:13" x14ac:dyDescent="0.4">
      <c r="A450" s="68">
        <v>224</v>
      </c>
      <c r="B450" s="68">
        <f t="shared" ref="B450:B513" si="34">A450-0.1</f>
        <v>223.9</v>
      </c>
      <c r="C450" s="68"/>
      <c r="D450" s="68"/>
      <c r="F450" s="68"/>
      <c r="G450" s="68">
        <v>224</v>
      </c>
      <c r="H450" s="68"/>
      <c r="I450" s="69"/>
      <c r="J450" s="68"/>
      <c r="K450" s="68">
        <v>224</v>
      </c>
      <c r="M450" s="66"/>
    </row>
    <row r="451" spans="1:13" x14ac:dyDescent="0.4">
      <c r="A451" s="68">
        <v>224.5</v>
      </c>
      <c r="B451" s="68">
        <f t="shared" si="34"/>
        <v>224.4</v>
      </c>
      <c r="C451" s="68"/>
      <c r="D451" s="68"/>
      <c r="F451" s="68"/>
      <c r="G451" s="68">
        <v>224.5</v>
      </c>
      <c r="H451" s="68"/>
      <c r="I451" s="69"/>
      <c r="J451" s="68"/>
      <c r="K451" s="68">
        <v>224.5</v>
      </c>
      <c r="M451" s="66"/>
    </row>
    <row r="452" spans="1:13" x14ac:dyDescent="0.4">
      <c r="A452" s="68">
        <v>225</v>
      </c>
      <c r="B452" s="68">
        <f t="shared" si="34"/>
        <v>224.9</v>
      </c>
      <c r="C452" s="68"/>
      <c r="D452" s="68"/>
      <c r="F452" s="68"/>
      <c r="G452" s="68">
        <v>225</v>
      </c>
      <c r="H452" s="68"/>
      <c r="I452" s="69"/>
      <c r="J452" s="68"/>
      <c r="K452" s="68">
        <v>225</v>
      </c>
      <c r="M452" s="66"/>
    </row>
    <row r="453" spans="1:13" x14ac:dyDescent="0.4">
      <c r="A453" s="68">
        <v>225.5</v>
      </c>
      <c r="B453" s="68">
        <f t="shared" si="34"/>
        <v>225.4</v>
      </c>
      <c r="C453" s="68"/>
      <c r="D453" s="68"/>
      <c r="F453" s="68"/>
      <c r="G453" s="68">
        <v>225.5</v>
      </c>
      <c r="H453" s="68"/>
      <c r="I453" s="69"/>
      <c r="J453" s="68"/>
      <c r="K453" s="68">
        <v>225.5</v>
      </c>
      <c r="M453" s="66"/>
    </row>
    <row r="454" spans="1:13" x14ac:dyDescent="0.4">
      <c r="A454" s="68">
        <v>226</v>
      </c>
      <c r="B454" s="68">
        <f t="shared" si="34"/>
        <v>225.9</v>
      </c>
      <c r="C454" s="68"/>
      <c r="D454" s="68"/>
      <c r="F454" s="68"/>
      <c r="G454" s="68">
        <v>226</v>
      </c>
      <c r="H454" s="68"/>
      <c r="I454" s="69"/>
      <c r="J454" s="68"/>
      <c r="K454" s="68">
        <v>226</v>
      </c>
      <c r="M454" s="66"/>
    </row>
    <row r="455" spans="1:13" x14ac:dyDescent="0.4">
      <c r="A455" s="68">
        <v>226.5</v>
      </c>
      <c r="B455" s="68">
        <f t="shared" si="34"/>
        <v>226.4</v>
      </c>
      <c r="C455" s="68"/>
      <c r="D455" s="68"/>
      <c r="F455" s="68"/>
      <c r="G455" s="68">
        <v>226.5</v>
      </c>
      <c r="H455" s="68"/>
      <c r="I455" s="69"/>
      <c r="J455" s="68"/>
      <c r="K455" s="68">
        <v>226.5</v>
      </c>
      <c r="M455" s="66"/>
    </row>
    <row r="456" spans="1:13" x14ac:dyDescent="0.4">
      <c r="A456" s="68">
        <v>227</v>
      </c>
      <c r="B456" s="68">
        <f t="shared" si="34"/>
        <v>226.9</v>
      </c>
      <c r="C456" s="68"/>
      <c r="D456" s="68"/>
      <c r="F456" s="68"/>
      <c r="G456" s="68">
        <v>227</v>
      </c>
      <c r="H456" s="68"/>
      <c r="I456" s="69"/>
      <c r="J456" s="68"/>
      <c r="K456" s="68">
        <v>227</v>
      </c>
      <c r="M456" s="66"/>
    </row>
    <row r="457" spans="1:13" x14ac:dyDescent="0.4">
      <c r="A457" s="68">
        <v>227.5</v>
      </c>
      <c r="B457" s="68">
        <f t="shared" si="34"/>
        <v>227.4</v>
      </c>
      <c r="C457" s="68"/>
      <c r="D457" s="68"/>
      <c r="F457" s="68"/>
      <c r="G457" s="68">
        <v>227.5</v>
      </c>
      <c r="H457" s="68"/>
      <c r="I457" s="69"/>
      <c r="J457" s="68"/>
      <c r="K457" s="68">
        <v>227.5</v>
      </c>
      <c r="M457" s="66"/>
    </row>
    <row r="458" spans="1:13" x14ac:dyDescent="0.4">
      <c r="A458" s="68">
        <v>228</v>
      </c>
      <c r="B458" s="68">
        <f t="shared" si="34"/>
        <v>227.9</v>
      </c>
      <c r="C458" s="68"/>
      <c r="D458" s="68"/>
      <c r="F458" s="68"/>
      <c r="G458" s="68">
        <v>228</v>
      </c>
      <c r="H458" s="68"/>
      <c r="I458" s="69"/>
      <c r="J458" s="68"/>
      <c r="K458" s="68">
        <v>228</v>
      </c>
      <c r="M458" s="66"/>
    </row>
    <row r="459" spans="1:13" x14ac:dyDescent="0.4">
      <c r="A459" s="68">
        <v>228.5</v>
      </c>
      <c r="B459" s="68">
        <f t="shared" si="34"/>
        <v>228.4</v>
      </c>
      <c r="C459" s="68"/>
      <c r="D459" s="68"/>
      <c r="F459" s="68"/>
      <c r="G459" s="68">
        <v>228.5</v>
      </c>
      <c r="H459" s="68"/>
      <c r="I459" s="69"/>
      <c r="J459" s="68"/>
      <c r="K459" s="68">
        <v>228.5</v>
      </c>
      <c r="M459" s="66"/>
    </row>
    <row r="460" spans="1:13" x14ac:dyDescent="0.4">
      <c r="A460" s="68">
        <v>229</v>
      </c>
      <c r="B460" s="68">
        <f t="shared" si="34"/>
        <v>228.9</v>
      </c>
      <c r="C460" s="68"/>
      <c r="D460" s="68"/>
      <c r="F460" s="68"/>
      <c r="G460" s="68">
        <v>229</v>
      </c>
      <c r="H460" s="68"/>
      <c r="I460" s="69"/>
      <c r="J460" s="68"/>
      <c r="K460" s="68">
        <v>229</v>
      </c>
      <c r="M460" s="66"/>
    </row>
    <row r="461" spans="1:13" x14ac:dyDescent="0.4">
      <c r="A461" s="68">
        <v>229.5</v>
      </c>
      <c r="B461" s="68">
        <f t="shared" si="34"/>
        <v>229.4</v>
      </c>
      <c r="C461" s="68"/>
      <c r="D461" s="68"/>
      <c r="F461" s="68"/>
      <c r="G461" s="68">
        <v>229.5</v>
      </c>
      <c r="H461" s="68"/>
      <c r="I461" s="69"/>
      <c r="J461" s="68"/>
      <c r="K461" s="68">
        <v>229.5</v>
      </c>
      <c r="M461" s="66"/>
    </row>
    <row r="462" spans="1:13" x14ac:dyDescent="0.4">
      <c r="A462" s="68">
        <v>230</v>
      </c>
      <c r="B462" s="68">
        <f t="shared" si="34"/>
        <v>229.9</v>
      </c>
      <c r="C462" s="68"/>
      <c r="D462" s="68"/>
      <c r="F462" s="68"/>
      <c r="G462" s="68">
        <v>230</v>
      </c>
      <c r="H462" s="68"/>
      <c r="I462" s="69"/>
      <c r="J462" s="68"/>
      <c r="K462" s="68">
        <v>230</v>
      </c>
      <c r="M462" s="66"/>
    </row>
    <row r="463" spans="1:13" x14ac:dyDescent="0.4">
      <c r="A463" s="68">
        <v>230.5</v>
      </c>
      <c r="B463" s="68">
        <f t="shared" si="34"/>
        <v>230.4</v>
      </c>
      <c r="C463" s="68"/>
      <c r="D463" s="68"/>
      <c r="F463" s="68"/>
      <c r="G463" s="68">
        <v>230.5</v>
      </c>
      <c r="H463" s="68"/>
      <c r="I463" s="69"/>
      <c r="J463" s="68"/>
      <c r="K463" s="68">
        <v>230.5</v>
      </c>
      <c r="M463" s="66"/>
    </row>
    <row r="464" spans="1:13" x14ac:dyDescent="0.4">
      <c r="A464" s="68">
        <v>231</v>
      </c>
      <c r="B464" s="68">
        <f t="shared" si="34"/>
        <v>230.9</v>
      </c>
      <c r="C464" s="68"/>
      <c r="D464" s="68"/>
      <c r="F464" s="68"/>
      <c r="G464" s="68">
        <v>231</v>
      </c>
      <c r="H464" s="68"/>
      <c r="I464" s="69"/>
      <c r="J464" s="68"/>
      <c r="K464" s="68">
        <v>231</v>
      </c>
      <c r="M464" s="66"/>
    </row>
    <row r="465" spans="1:13" x14ac:dyDescent="0.4">
      <c r="A465" s="68">
        <v>231.5</v>
      </c>
      <c r="B465" s="68">
        <f t="shared" si="34"/>
        <v>231.4</v>
      </c>
      <c r="C465" s="68"/>
      <c r="D465" s="68"/>
      <c r="F465" s="68"/>
      <c r="G465" s="68">
        <v>231.5</v>
      </c>
      <c r="H465" s="68"/>
      <c r="I465" s="69"/>
      <c r="J465" s="68"/>
      <c r="K465" s="68">
        <v>231.5</v>
      </c>
      <c r="M465" s="66"/>
    </row>
    <row r="466" spans="1:13" x14ac:dyDescent="0.4">
      <c r="A466" s="68">
        <v>232</v>
      </c>
      <c r="B466" s="68">
        <f t="shared" si="34"/>
        <v>231.9</v>
      </c>
      <c r="C466" s="68"/>
      <c r="D466" s="68"/>
      <c r="F466" s="68"/>
      <c r="G466" s="68">
        <v>232</v>
      </c>
      <c r="H466" s="68"/>
      <c r="I466" s="69"/>
      <c r="J466" s="68"/>
      <c r="K466" s="68">
        <v>232</v>
      </c>
      <c r="M466" s="66"/>
    </row>
    <row r="467" spans="1:13" x14ac:dyDescent="0.4">
      <c r="A467" s="68">
        <v>232.5</v>
      </c>
      <c r="B467" s="68">
        <f t="shared" si="34"/>
        <v>232.4</v>
      </c>
      <c r="C467" s="68"/>
      <c r="D467" s="68"/>
      <c r="F467" s="68"/>
      <c r="G467" s="68">
        <v>232.5</v>
      </c>
      <c r="H467" s="68"/>
      <c r="I467" s="69"/>
      <c r="J467" s="68"/>
      <c r="K467" s="68">
        <v>232.5</v>
      </c>
      <c r="M467" s="66"/>
    </row>
    <row r="468" spans="1:13" x14ac:dyDescent="0.4">
      <c r="A468" s="68">
        <v>233</v>
      </c>
      <c r="B468" s="68">
        <f t="shared" si="34"/>
        <v>232.9</v>
      </c>
      <c r="C468" s="68"/>
      <c r="D468" s="68"/>
      <c r="F468" s="68"/>
      <c r="G468" s="68">
        <v>233</v>
      </c>
      <c r="H468" s="68"/>
      <c r="I468" s="69"/>
      <c r="J468" s="68"/>
      <c r="K468" s="68">
        <v>233</v>
      </c>
      <c r="M468" s="66"/>
    </row>
    <row r="469" spans="1:13" x14ac:dyDescent="0.4">
      <c r="A469" s="68">
        <v>233.5</v>
      </c>
      <c r="B469" s="68">
        <f t="shared" si="34"/>
        <v>233.4</v>
      </c>
      <c r="C469" s="68"/>
      <c r="D469" s="68"/>
      <c r="F469" s="68"/>
      <c r="G469" s="68">
        <v>233.5</v>
      </c>
      <c r="H469" s="68"/>
      <c r="I469" s="69"/>
      <c r="J469" s="68"/>
      <c r="K469" s="68">
        <v>233.5</v>
      </c>
      <c r="M469" s="66"/>
    </row>
    <row r="470" spans="1:13" x14ac:dyDescent="0.4">
      <c r="A470" s="68">
        <v>234</v>
      </c>
      <c r="B470" s="68">
        <f t="shared" si="34"/>
        <v>233.9</v>
      </c>
      <c r="C470" s="68"/>
      <c r="D470" s="68"/>
      <c r="F470" s="68"/>
      <c r="G470" s="68">
        <v>234</v>
      </c>
      <c r="H470" s="68"/>
      <c r="I470" s="69"/>
      <c r="J470" s="68"/>
      <c r="K470" s="68">
        <v>234</v>
      </c>
      <c r="M470" s="66"/>
    </row>
    <row r="471" spans="1:13" x14ac:dyDescent="0.4">
      <c r="A471" s="68">
        <v>234.5</v>
      </c>
      <c r="B471" s="68">
        <f t="shared" si="34"/>
        <v>234.4</v>
      </c>
      <c r="C471" s="68"/>
      <c r="D471" s="68"/>
      <c r="F471" s="68"/>
      <c r="G471" s="68">
        <v>234.5</v>
      </c>
      <c r="H471" s="68"/>
      <c r="I471" s="69"/>
      <c r="J471" s="68"/>
      <c r="K471" s="68">
        <v>234.5</v>
      </c>
      <c r="M471" s="66"/>
    </row>
    <row r="472" spans="1:13" x14ac:dyDescent="0.4">
      <c r="A472" s="68">
        <v>235</v>
      </c>
      <c r="B472" s="68">
        <f t="shared" si="34"/>
        <v>234.9</v>
      </c>
      <c r="C472" s="68"/>
      <c r="D472" s="68"/>
      <c r="F472" s="68"/>
      <c r="G472" s="68">
        <v>235</v>
      </c>
      <c r="H472" s="68"/>
      <c r="I472" s="69"/>
      <c r="J472" s="68"/>
      <c r="K472" s="68">
        <v>235</v>
      </c>
      <c r="M472" s="66"/>
    </row>
    <row r="473" spans="1:13" x14ac:dyDescent="0.4">
      <c r="A473" s="68">
        <v>235.5</v>
      </c>
      <c r="B473" s="68">
        <f t="shared" si="34"/>
        <v>235.4</v>
      </c>
      <c r="C473" s="68"/>
      <c r="D473" s="68"/>
      <c r="F473" s="68"/>
      <c r="G473" s="68">
        <v>235.5</v>
      </c>
      <c r="H473" s="68"/>
      <c r="I473" s="69"/>
      <c r="J473" s="68"/>
      <c r="K473" s="68">
        <v>235.5</v>
      </c>
      <c r="M473" s="66"/>
    </row>
    <row r="474" spans="1:13" x14ac:dyDescent="0.4">
      <c r="A474" s="68">
        <v>236</v>
      </c>
      <c r="B474" s="68">
        <f t="shared" si="34"/>
        <v>235.9</v>
      </c>
      <c r="C474" s="68"/>
      <c r="D474" s="68"/>
      <c r="F474" s="68"/>
      <c r="G474" s="68">
        <v>236</v>
      </c>
      <c r="H474" s="68"/>
      <c r="I474" s="69"/>
      <c r="J474" s="68"/>
      <c r="K474" s="68">
        <v>236</v>
      </c>
      <c r="M474" s="66"/>
    </row>
    <row r="475" spans="1:13" x14ac:dyDescent="0.4">
      <c r="A475" s="68">
        <v>236.5</v>
      </c>
      <c r="B475" s="68">
        <f t="shared" si="34"/>
        <v>236.4</v>
      </c>
      <c r="C475" s="68"/>
      <c r="D475" s="68"/>
      <c r="F475" s="68"/>
      <c r="G475" s="68">
        <v>236.5</v>
      </c>
      <c r="H475" s="68"/>
      <c r="I475" s="69"/>
      <c r="J475" s="68"/>
      <c r="K475" s="68">
        <v>236.5</v>
      </c>
      <c r="M475" s="66"/>
    </row>
    <row r="476" spans="1:13" x14ac:dyDescent="0.4">
      <c r="A476" s="68">
        <v>237</v>
      </c>
      <c r="B476" s="68">
        <f t="shared" si="34"/>
        <v>236.9</v>
      </c>
      <c r="C476" s="68"/>
      <c r="D476" s="68"/>
      <c r="F476" s="68"/>
      <c r="G476" s="68">
        <v>237</v>
      </c>
      <c r="H476" s="68"/>
      <c r="I476" s="69"/>
      <c r="J476" s="68"/>
      <c r="K476" s="68">
        <v>237</v>
      </c>
      <c r="M476" s="66"/>
    </row>
    <row r="477" spans="1:13" x14ac:dyDescent="0.4">
      <c r="A477" s="68">
        <v>237.5</v>
      </c>
      <c r="B477" s="68">
        <f t="shared" si="34"/>
        <v>237.4</v>
      </c>
      <c r="C477" s="68"/>
      <c r="D477" s="68"/>
      <c r="F477" s="68"/>
      <c r="G477" s="68">
        <v>237.5</v>
      </c>
      <c r="H477" s="68"/>
      <c r="I477" s="69"/>
      <c r="J477" s="68"/>
      <c r="K477" s="68">
        <v>237.5</v>
      </c>
      <c r="M477" s="66"/>
    </row>
    <row r="478" spans="1:13" x14ac:dyDescent="0.4">
      <c r="A478" s="68">
        <v>238</v>
      </c>
      <c r="B478" s="68">
        <f t="shared" si="34"/>
        <v>237.9</v>
      </c>
      <c r="C478" s="68"/>
      <c r="D478" s="68"/>
      <c r="F478" s="68"/>
      <c r="G478" s="68">
        <v>238</v>
      </c>
      <c r="H478" s="68"/>
      <c r="I478" s="69"/>
      <c r="J478" s="68"/>
      <c r="K478" s="68">
        <v>238</v>
      </c>
      <c r="M478" s="66"/>
    </row>
    <row r="479" spans="1:13" x14ac:dyDescent="0.4">
      <c r="A479" s="68">
        <v>238.5</v>
      </c>
      <c r="B479" s="68">
        <f t="shared" si="34"/>
        <v>238.4</v>
      </c>
      <c r="C479" s="68"/>
      <c r="D479" s="68"/>
      <c r="F479" s="68"/>
      <c r="G479" s="68">
        <v>238.5</v>
      </c>
      <c r="H479" s="68"/>
      <c r="I479" s="69"/>
      <c r="J479" s="68"/>
      <c r="K479" s="68">
        <v>238.5</v>
      </c>
      <c r="M479" s="66"/>
    </row>
    <row r="480" spans="1:13" x14ac:dyDescent="0.4">
      <c r="A480" s="68">
        <v>239</v>
      </c>
      <c r="B480" s="68">
        <f t="shared" si="34"/>
        <v>238.9</v>
      </c>
      <c r="C480" s="68"/>
      <c r="D480" s="68"/>
      <c r="F480" s="68"/>
      <c r="G480" s="68">
        <v>239</v>
      </c>
      <c r="H480" s="68"/>
      <c r="I480" s="69"/>
      <c r="J480" s="68"/>
      <c r="K480" s="68">
        <v>239</v>
      </c>
      <c r="M480" s="66"/>
    </row>
    <row r="481" spans="1:13" x14ac:dyDescent="0.4">
      <c r="A481" s="68">
        <v>239.5</v>
      </c>
      <c r="B481" s="68">
        <f t="shared" si="34"/>
        <v>239.4</v>
      </c>
      <c r="C481" s="68"/>
      <c r="D481" s="68"/>
      <c r="F481" s="68"/>
      <c r="G481" s="68">
        <v>239.5</v>
      </c>
      <c r="H481" s="68"/>
      <c r="I481" s="69"/>
      <c r="J481" s="68"/>
      <c r="K481" s="68">
        <v>239.5</v>
      </c>
      <c r="M481" s="66"/>
    </row>
    <row r="482" spans="1:13" x14ac:dyDescent="0.4">
      <c r="A482" s="68">
        <v>240</v>
      </c>
      <c r="B482" s="68">
        <f t="shared" si="34"/>
        <v>239.9</v>
      </c>
      <c r="C482" s="68">
        <v>3346400</v>
      </c>
      <c r="D482" s="68"/>
      <c r="E482" s="62">
        <f>I482*1000</f>
        <v>2077075.8620689658</v>
      </c>
      <c r="F482" s="68"/>
      <c r="G482" s="68">
        <v>240</v>
      </c>
      <c r="H482" s="68"/>
      <c r="I482" s="69">
        <f>(18/29)*(C482)/1000</f>
        <v>2077.0758620689658</v>
      </c>
      <c r="J482" s="70">
        <f>((22.41/273)*(A482+273))*((1/29)+((1/18)*I482))</f>
        <v>4860.7824986737405</v>
      </c>
      <c r="K482" s="68">
        <v>240</v>
      </c>
      <c r="M482" s="66"/>
    </row>
    <row r="483" spans="1:13" x14ac:dyDescent="0.4">
      <c r="A483" s="68">
        <v>240.5</v>
      </c>
      <c r="B483" s="68">
        <f t="shared" si="34"/>
        <v>240.4</v>
      </c>
      <c r="C483" s="68"/>
      <c r="D483" s="68"/>
      <c r="F483" s="68"/>
      <c r="G483" s="68">
        <v>240.5</v>
      </c>
      <c r="H483" s="68"/>
      <c r="I483" s="69"/>
      <c r="J483" s="68"/>
      <c r="K483" s="68">
        <v>240.5</v>
      </c>
      <c r="M483" s="66"/>
    </row>
    <row r="484" spans="1:13" x14ac:dyDescent="0.4">
      <c r="A484" s="68">
        <v>241</v>
      </c>
      <c r="B484" s="68">
        <f t="shared" si="34"/>
        <v>240.9</v>
      </c>
      <c r="C484" s="68"/>
      <c r="D484" s="68"/>
      <c r="F484" s="68"/>
      <c r="G484" s="68">
        <v>241</v>
      </c>
      <c r="H484" s="68"/>
      <c r="I484" s="69"/>
      <c r="J484" s="68"/>
      <c r="K484" s="68">
        <v>241</v>
      </c>
      <c r="M484" s="66"/>
    </row>
    <row r="485" spans="1:13" x14ac:dyDescent="0.4">
      <c r="A485" s="68">
        <v>241.5</v>
      </c>
      <c r="B485" s="68">
        <f t="shared" si="34"/>
        <v>241.4</v>
      </c>
      <c r="C485" s="68"/>
      <c r="D485" s="68"/>
      <c r="F485" s="68"/>
      <c r="G485" s="68">
        <v>241.5</v>
      </c>
      <c r="H485" s="68"/>
      <c r="I485" s="69"/>
      <c r="J485" s="68"/>
      <c r="K485" s="68">
        <v>241.5</v>
      </c>
      <c r="M485" s="66"/>
    </row>
    <row r="486" spans="1:13" x14ac:dyDescent="0.4">
      <c r="A486" s="68">
        <v>242</v>
      </c>
      <c r="B486" s="68">
        <f t="shared" si="34"/>
        <v>241.9</v>
      </c>
      <c r="C486" s="68"/>
      <c r="D486" s="68"/>
      <c r="F486" s="68"/>
      <c r="G486" s="68">
        <v>242</v>
      </c>
      <c r="H486" s="68"/>
      <c r="I486" s="69"/>
      <c r="J486" s="68"/>
      <c r="K486" s="68">
        <v>242</v>
      </c>
      <c r="M486" s="66"/>
    </row>
    <row r="487" spans="1:13" x14ac:dyDescent="0.4">
      <c r="A487" s="68">
        <v>242.5</v>
      </c>
      <c r="B487" s="68">
        <f t="shared" si="34"/>
        <v>242.4</v>
      </c>
      <c r="C487" s="68"/>
      <c r="D487" s="68"/>
      <c r="F487" s="68"/>
      <c r="G487" s="68">
        <v>242.5</v>
      </c>
      <c r="H487" s="68"/>
      <c r="I487" s="69"/>
      <c r="J487" s="68"/>
      <c r="K487" s="68">
        <v>242.5</v>
      </c>
      <c r="M487" s="66"/>
    </row>
    <row r="488" spans="1:13" x14ac:dyDescent="0.4">
      <c r="A488" s="68">
        <v>243</v>
      </c>
      <c r="B488" s="68">
        <f t="shared" si="34"/>
        <v>242.9</v>
      </c>
      <c r="C488" s="68"/>
      <c r="D488" s="68"/>
      <c r="F488" s="68"/>
      <c r="G488" s="68">
        <v>243</v>
      </c>
      <c r="H488" s="68"/>
      <c r="I488" s="69"/>
      <c r="J488" s="68"/>
      <c r="K488" s="68">
        <v>243</v>
      </c>
      <c r="M488" s="66"/>
    </row>
    <row r="489" spans="1:13" x14ac:dyDescent="0.4">
      <c r="A489" s="68">
        <v>243.5</v>
      </c>
      <c r="B489" s="68">
        <f t="shared" si="34"/>
        <v>243.4</v>
      </c>
      <c r="C489" s="68"/>
      <c r="D489" s="68"/>
      <c r="F489" s="68"/>
      <c r="G489" s="68">
        <v>243.5</v>
      </c>
      <c r="H489" s="68"/>
      <c r="I489" s="69"/>
      <c r="J489" s="68"/>
      <c r="K489" s="68">
        <v>243.5</v>
      </c>
      <c r="M489" s="66"/>
    </row>
    <row r="490" spans="1:13" x14ac:dyDescent="0.4">
      <c r="A490" s="68">
        <v>244</v>
      </c>
      <c r="B490" s="68">
        <f t="shared" si="34"/>
        <v>243.9</v>
      </c>
      <c r="C490" s="68"/>
      <c r="D490" s="68"/>
      <c r="F490" s="68"/>
      <c r="G490" s="68">
        <v>244</v>
      </c>
      <c r="H490" s="68"/>
      <c r="I490" s="69"/>
      <c r="J490" s="68"/>
      <c r="K490" s="68">
        <v>244</v>
      </c>
      <c r="M490" s="66"/>
    </row>
    <row r="491" spans="1:13" x14ac:dyDescent="0.4">
      <c r="A491" s="68">
        <v>244.5</v>
      </c>
      <c r="B491" s="68">
        <f t="shared" si="34"/>
        <v>244.4</v>
      </c>
      <c r="C491" s="68"/>
      <c r="D491" s="68"/>
      <c r="F491" s="68"/>
      <c r="G491" s="68">
        <v>244.5</v>
      </c>
      <c r="H491" s="68"/>
      <c r="I491" s="69"/>
      <c r="J491" s="68"/>
      <c r="K491" s="68">
        <v>244.5</v>
      </c>
      <c r="M491" s="66"/>
    </row>
    <row r="492" spans="1:13" x14ac:dyDescent="0.4">
      <c r="A492" s="68">
        <v>245</v>
      </c>
      <c r="B492" s="68">
        <f t="shared" si="34"/>
        <v>244.9</v>
      </c>
      <c r="C492" s="68"/>
      <c r="D492" s="68"/>
      <c r="F492" s="68"/>
      <c r="G492" s="68">
        <v>245</v>
      </c>
      <c r="H492" s="68"/>
      <c r="I492" s="69"/>
      <c r="J492" s="68"/>
      <c r="K492" s="68">
        <v>245</v>
      </c>
      <c r="M492" s="66"/>
    </row>
    <row r="493" spans="1:13" x14ac:dyDescent="0.4">
      <c r="A493" s="68">
        <v>245.5</v>
      </c>
      <c r="B493" s="68">
        <f t="shared" si="34"/>
        <v>245.4</v>
      </c>
      <c r="C493" s="68"/>
      <c r="D493" s="68"/>
      <c r="F493" s="68"/>
      <c r="G493" s="68">
        <v>245.5</v>
      </c>
      <c r="H493" s="68"/>
      <c r="I493" s="69"/>
      <c r="J493" s="68"/>
      <c r="K493" s="68">
        <v>245.5</v>
      </c>
      <c r="M493" s="66"/>
    </row>
    <row r="494" spans="1:13" x14ac:dyDescent="0.4">
      <c r="A494" s="68">
        <v>246</v>
      </c>
      <c r="B494" s="68">
        <f t="shared" si="34"/>
        <v>245.9</v>
      </c>
      <c r="C494" s="68"/>
      <c r="D494" s="68"/>
      <c r="F494" s="68"/>
      <c r="G494" s="68">
        <v>246</v>
      </c>
      <c r="H494" s="68"/>
      <c r="I494" s="69"/>
      <c r="J494" s="68"/>
      <c r="K494" s="68">
        <v>246</v>
      </c>
      <c r="M494" s="66"/>
    </row>
    <row r="495" spans="1:13" x14ac:dyDescent="0.4">
      <c r="A495" s="68">
        <v>246.5</v>
      </c>
      <c r="B495" s="68">
        <f t="shared" si="34"/>
        <v>246.4</v>
      </c>
      <c r="C495" s="68"/>
      <c r="D495" s="68"/>
      <c r="F495" s="68"/>
      <c r="G495" s="68">
        <v>246.5</v>
      </c>
      <c r="H495" s="68"/>
      <c r="I495" s="69"/>
      <c r="J495" s="68"/>
      <c r="K495" s="68">
        <v>246.5</v>
      </c>
      <c r="M495" s="66"/>
    </row>
    <row r="496" spans="1:13" x14ac:dyDescent="0.4">
      <c r="A496" s="68">
        <v>247</v>
      </c>
      <c r="B496" s="68">
        <f t="shared" si="34"/>
        <v>246.9</v>
      </c>
      <c r="C496" s="68"/>
      <c r="D496" s="68"/>
      <c r="F496" s="68"/>
      <c r="G496" s="68">
        <v>247</v>
      </c>
      <c r="H496" s="68"/>
      <c r="I496" s="69"/>
      <c r="J496" s="68"/>
      <c r="K496" s="68">
        <v>247</v>
      </c>
      <c r="M496" s="66"/>
    </row>
    <row r="497" spans="1:13" x14ac:dyDescent="0.4">
      <c r="A497" s="68">
        <v>247.5</v>
      </c>
      <c r="B497" s="68">
        <f t="shared" si="34"/>
        <v>247.4</v>
      </c>
      <c r="C497" s="68"/>
      <c r="D497" s="68"/>
      <c r="F497" s="68"/>
      <c r="G497" s="68">
        <v>247.5</v>
      </c>
      <c r="H497" s="68"/>
      <c r="I497" s="69"/>
      <c r="J497" s="68"/>
      <c r="K497" s="68">
        <v>247.5</v>
      </c>
      <c r="M497" s="66"/>
    </row>
    <row r="498" spans="1:13" x14ac:dyDescent="0.4">
      <c r="A498" s="68">
        <v>248</v>
      </c>
      <c r="B498" s="68">
        <f t="shared" si="34"/>
        <v>247.9</v>
      </c>
      <c r="C498" s="68"/>
      <c r="D498" s="68"/>
      <c r="F498" s="68"/>
      <c r="G498" s="68">
        <v>248</v>
      </c>
      <c r="H498" s="68"/>
      <c r="I498" s="69"/>
      <c r="J498" s="68"/>
      <c r="K498" s="68">
        <v>248</v>
      </c>
      <c r="M498" s="66"/>
    </row>
    <row r="499" spans="1:13" x14ac:dyDescent="0.4">
      <c r="A499" s="68">
        <v>248.5</v>
      </c>
      <c r="B499" s="68">
        <f t="shared" si="34"/>
        <v>248.4</v>
      </c>
      <c r="C499" s="68"/>
      <c r="D499" s="68"/>
      <c r="F499" s="68"/>
      <c r="G499" s="68">
        <v>248.5</v>
      </c>
      <c r="H499" s="68"/>
      <c r="I499" s="69"/>
      <c r="J499" s="68"/>
      <c r="K499" s="68">
        <v>248.5</v>
      </c>
      <c r="M499" s="66"/>
    </row>
    <row r="500" spans="1:13" x14ac:dyDescent="0.4">
      <c r="A500" s="68">
        <v>249</v>
      </c>
      <c r="B500" s="68">
        <f t="shared" si="34"/>
        <v>248.9</v>
      </c>
      <c r="C500" s="68"/>
      <c r="D500" s="68"/>
      <c r="F500" s="68"/>
      <c r="G500" s="68">
        <v>249</v>
      </c>
      <c r="H500" s="68"/>
      <c r="I500" s="69"/>
      <c r="J500" s="68"/>
      <c r="K500" s="68">
        <v>249</v>
      </c>
      <c r="M500" s="66"/>
    </row>
    <row r="501" spans="1:13" x14ac:dyDescent="0.4">
      <c r="A501" s="68">
        <v>249.5</v>
      </c>
      <c r="B501" s="68">
        <f t="shared" si="34"/>
        <v>249.4</v>
      </c>
      <c r="C501" s="68"/>
      <c r="D501" s="68"/>
      <c r="F501" s="68"/>
      <c r="G501" s="68">
        <v>249.5</v>
      </c>
      <c r="H501" s="68"/>
      <c r="I501" s="69"/>
      <c r="J501" s="68"/>
      <c r="K501" s="68">
        <v>249.5</v>
      </c>
      <c r="M501" s="66"/>
    </row>
    <row r="502" spans="1:13" x14ac:dyDescent="0.4">
      <c r="A502" s="68">
        <v>250</v>
      </c>
      <c r="B502" s="68">
        <f t="shared" si="34"/>
        <v>249.9</v>
      </c>
      <c r="C502" s="68"/>
      <c r="D502" s="68"/>
      <c r="F502" s="68"/>
      <c r="G502" s="68">
        <v>250</v>
      </c>
      <c r="H502" s="68"/>
      <c r="I502" s="69"/>
      <c r="J502" s="68"/>
      <c r="K502" s="68">
        <v>250</v>
      </c>
      <c r="M502" s="66"/>
    </row>
    <row r="503" spans="1:13" x14ac:dyDescent="0.4">
      <c r="A503" s="68">
        <v>250.5</v>
      </c>
      <c r="B503" s="68">
        <f t="shared" si="34"/>
        <v>250.4</v>
      </c>
      <c r="C503" s="68"/>
      <c r="D503" s="68"/>
      <c r="F503" s="68"/>
      <c r="G503" s="68">
        <v>250.5</v>
      </c>
      <c r="H503" s="68"/>
      <c r="I503" s="69"/>
      <c r="J503" s="68"/>
      <c r="K503" s="68">
        <v>250.5</v>
      </c>
      <c r="M503" s="66"/>
    </row>
    <row r="504" spans="1:13" x14ac:dyDescent="0.4">
      <c r="A504" s="68">
        <v>251</v>
      </c>
      <c r="B504" s="68">
        <f t="shared" si="34"/>
        <v>250.9</v>
      </c>
      <c r="C504" s="68"/>
      <c r="D504" s="68"/>
      <c r="F504" s="68"/>
      <c r="G504" s="68">
        <v>251</v>
      </c>
      <c r="H504" s="68"/>
      <c r="I504" s="69"/>
      <c r="J504" s="68"/>
      <c r="K504" s="68">
        <v>251</v>
      </c>
      <c r="M504" s="66"/>
    </row>
    <row r="505" spans="1:13" x14ac:dyDescent="0.4">
      <c r="A505" s="68">
        <v>251.5</v>
      </c>
      <c r="B505" s="68">
        <f t="shared" si="34"/>
        <v>251.4</v>
      </c>
      <c r="C505" s="68"/>
      <c r="D505" s="68"/>
      <c r="F505" s="68"/>
      <c r="G505" s="68">
        <v>251.5</v>
      </c>
      <c r="H505" s="68"/>
      <c r="I505" s="69"/>
      <c r="J505" s="68"/>
      <c r="K505" s="68">
        <v>251.5</v>
      </c>
      <c r="M505" s="66"/>
    </row>
    <row r="506" spans="1:13" x14ac:dyDescent="0.4">
      <c r="A506" s="68">
        <v>252</v>
      </c>
      <c r="B506" s="68">
        <f t="shared" si="34"/>
        <v>251.9</v>
      </c>
      <c r="C506" s="68"/>
      <c r="D506" s="68"/>
      <c r="F506" s="68"/>
      <c r="G506" s="68">
        <v>252</v>
      </c>
      <c r="H506" s="68"/>
      <c r="I506" s="69"/>
      <c r="J506" s="68"/>
      <c r="K506" s="68">
        <v>252</v>
      </c>
      <c r="M506" s="66"/>
    </row>
    <row r="507" spans="1:13" x14ac:dyDescent="0.4">
      <c r="A507" s="68">
        <v>252.5</v>
      </c>
      <c r="B507" s="68">
        <f t="shared" si="34"/>
        <v>252.4</v>
      </c>
      <c r="C507" s="68"/>
      <c r="D507" s="68"/>
      <c r="F507" s="68"/>
      <c r="G507" s="68">
        <v>252.5</v>
      </c>
      <c r="H507" s="68"/>
      <c r="I507" s="69"/>
      <c r="J507" s="68"/>
      <c r="K507" s="68">
        <v>252.5</v>
      </c>
      <c r="M507" s="66"/>
    </row>
    <row r="508" spans="1:13" x14ac:dyDescent="0.4">
      <c r="A508" s="68">
        <v>253</v>
      </c>
      <c r="B508" s="68">
        <f t="shared" si="34"/>
        <v>252.9</v>
      </c>
      <c r="C508" s="68"/>
      <c r="D508" s="68"/>
      <c r="F508" s="68"/>
      <c r="G508" s="68">
        <v>253</v>
      </c>
      <c r="H508" s="68"/>
      <c r="I508" s="69"/>
      <c r="J508" s="68"/>
      <c r="K508" s="68">
        <v>253</v>
      </c>
      <c r="M508" s="66"/>
    </row>
    <row r="509" spans="1:13" x14ac:dyDescent="0.4">
      <c r="A509" s="68">
        <v>253.5</v>
      </c>
      <c r="B509" s="68">
        <f t="shared" si="34"/>
        <v>253.4</v>
      </c>
      <c r="C509" s="68"/>
      <c r="D509" s="68"/>
      <c r="F509" s="68"/>
      <c r="G509" s="68">
        <v>253.5</v>
      </c>
      <c r="H509" s="68"/>
      <c r="I509" s="69"/>
      <c r="J509" s="68"/>
      <c r="K509" s="68">
        <v>253.5</v>
      </c>
      <c r="M509" s="66"/>
    </row>
    <row r="510" spans="1:13" x14ac:dyDescent="0.4">
      <c r="A510" s="68">
        <v>254</v>
      </c>
      <c r="B510" s="68">
        <f t="shared" si="34"/>
        <v>253.9</v>
      </c>
      <c r="C510" s="68"/>
      <c r="D510" s="68"/>
      <c r="F510" s="68"/>
      <c r="G510" s="68">
        <v>254</v>
      </c>
      <c r="H510" s="68"/>
      <c r="I510" s="69"/>
      <c r="J510" s="68"/>
      <c r="K510" s="68">
        <v>254</v>
      </c>
      <c r="M510" s="66"/>
    </row>
    <row r="511" spans="1:13" x14ac:dyDescent="0.4">
      <c r="A511" s="68">
        <v>254.5</v>
      </c>
      <c r="B511" s="68">
        <f t="shared" si="34"/>
        <v>254.4</v>
      </c>
      <c r="C511" s="68"/>
      <c r="D511" s="68"/>
      <c r="F511" s="68"/>
      <c r="G511" s="68">
        <v>254.5</v>
      </c>
      <c r="H511" s="68"/>
      <c r="I511" s="69"/>
      <c r="J511" s="68"/>
      <c r="K511" s="68">
        <v>254.5</v>
      </c>
      <c r="M511" s="66"/>
    </row>
    <row r="512" spans="1:13" x14ac:dyDescent="0.4">
      <c r="A512" s="68">
        <v>255</v>
      </c>
      <c r="B512" s="68">
        <f t="shared" si="34"/>
        <v>254.9</v>
      </c>
      <c r="C512" s="68"/>
      <c r="D512" s="68"/>
      <c r="F512" s="68"/>
      <c r="G512" s="68">
        <v>255</v>
      </c>
      <c r="H512" s="68"/>
      <c r="I512" s="69"/>
      <c r="J512" s="68"/>
      <c r="K512" s="68">
        <v>255</v>
      </c>
      <c r="M512" s="66"/>
    </row>
    <row r="513" spans="1:13" x14ac:dyDescent="0.4">
      <c r="A513" s="68">
        <v>255.5</v>
      </c>
      <c r="B513" s="68">
        <f t="shared" si="34"/>
        <v>255.4</v>
      </c>
      <c r="C513" s="68"/>
      <c r="D513" s="68"/>
      <c r="F513" s="68"/>
      <c r="G513" s="68">
        <v>255.5</v>
      </c>
      <c r="H513" s="68"/>
      <c r="I513" s="69"/>
      <c r="J513" s="68"/>
      <c r="K513" s="68">
        <v>255.5</v>
      </c>
      <c r="M513" s="66"/>
    </row>
    <row r="514" spans="1:13" x14ac:dyDescent="0.4">
      <c r="A514" s="68">
        <v>256</v>
      </c>
      <c r="B514" s="68">
        <f t="shared" ref="B514:B577" si="35">A514-0.1</f>
        <v>255.9</v>
      </c>
      <c r="C514" s="68"/>
      <c r="D514" s="68"/>
      <c r="F514" s="68"/>
      <c r="G514" s="68">
        <v>256</v>
      </c>
      <c r="H514" s="68"/>
      <c r="I514" s="69"/>
      <c r="J514" s="68"/>
      <c r="K514" s="68">
        <v>256</v>
      </c>
      <c r="M514" s="66"/>
    </row>
    <row r="515" spans="1:13" x14ac:dyDescent="0.4">
      <c r="A515" s="68">
        <v>256.5</v>
      </c>
      <c r="B515" s="68">
        <f t="shared" si="35"/>
        <v>256.39999999999998</v>
      </c>
      <c r="C515" s="68"/>
      <c r="D515" s="68"/>
      <c r="F515" s="68"/>
      <c r="G515" s="68">
        <v>256.5</v>
      </c>
      <c r="H515" s="68"/>
      <c r="I515" s="69"/>
      <c r="J515" s="68"/>
      <c r="K515" s="68">
        <v>256.5</v>
      </c>
      <c r="M515" s="66"/>
    </row>
    <row r="516" spans="1:13" x14ac:dyDescent="0.4">
      <c r="A516" s="68">
        <v>257</v>
      </c>
      <c r="B516" s="68">
        <f t="shared" si="35"/>
        <v>256.89999999999998</v>
      </c>
      <c r="C516" s="68"/>
      <c r="D516" s="68"/>
      <c r="F516" s="68"/>
      <c r="G516" s="68">
        <v>257</v>
      </c>
      <c r="H516" s="68"/>
      <c r="I516" s="69"/>
      <c r="J516" s="68"/>
      <c r="K516" s="68">
        <v>257</v>
      </c>
      <c r="M516" s="66"/>
    </row>
    <row r="517" spans="1:13" x14ac:dyDescent="0.4">
      <c r="A517" s="68">
        <v>257.5</v>
      </c>
      <c r="B517" s="68">
        <f t="shared" si="35"/>
        <v>257.39999999999998</v>
      </c>
      <c r="C517" s="68"/>
      <c r="D517" s="68"/>
      <c r="F517" s="68"/>
      <c r="G517" s="68">
        <v>257.5</v>
      </c>
      <c r="H517" s="68"/>
      <c r="I517" s="69"/>
      <c r="J517" s="68"/>
      <c r="K517" s="68">
        <v>257.5</v>
      </c>
      <c r="M517" s="66"/>
    </row>
    <row r="518" spans="1:13" x14ac:dyDescent="0.4">
      <c r="A518" s="68">
        <v>258</v>
      </c>
      <c r="B518" s="68">
        <f t="shared" si="35"/>
        <v>257.89999999999998</v>
      </c>
      <c r="C518" s="68"/>
      <c r="D518" s="68"/>
      <c r="F518" s="68"/>
      <c r="G518" s="68">
        <v>258</v>
      </c>
      <c r="H518" s="68"/>
      <c r="I518" s="69"/>
      <c r="J518" s="68"/>
      <c r="K518" s="68">
        <v>258</v>
      </c>
      <c r="M518" s="66"/>
    </row>
    <row r="519" spans="1:13" x14ac:dyDescent="0.4">
      <c r="A519" s="68">
        <v>258.5</v>
      </c>
      <c r="B519" s="68">
        <f t="shared" si="35"/>
        <v>258.39999999999998</v>
      </c>
      <c r="C519" s="68"/>
      <c r="D519" s="68"/>
      <c r="F519" s="68"/>
      <c r="G519" s="68">
        <v>258.5</v>
      </c>
      <c r="H519" s="68"/>
      <c r="I519" s="69"/>
      <c r="J519" s="68"/>
      <c r="K519" s="68">
        <v>258.5</v>
      </c>
      <c r="M519" s="66"/>
    </row>
    <row r="520" spans="1:13" x14ac:dyDescent="0.4">
      <c r="A520" s="68">
        <v>259</v>
      </c>
      <c r="B520" s="68">
        <f t="shared" si="35"/>
        <v>258.89999999999998</v>
      </c>
      <c r="C520" s="68"/>
      <c r="D520" s="68"/>
      <c r="F520" s="68"/>
      <c r="G520" s="68">
        <v>259</v>
      </c>
      <c r="H520" s="68"/>
      <c r="I520" s="69"/>
      <c r="J520" s="68"/>
      <c r="K520" s="68">
        <v>259</v>
      </c>
      <c r="M520" s="66"/>
    </row>
    <row r="521" spans="1:13" x14ac:dyDescent="0.4">
      <c r="A521" s="68">
        <v>259.5</v>
      </c>
      <c r="B521" s="68">
        <f t="shared" si="35"/>
        <v>259.39999999999998</v>
      </c>
      <c r="C521" s="68"/>
      <c r="D521" s="68"/>
      <c r="F521" s="68"/>
      <c r="G521" s="68">
        <v>259.5</v>
      </c>
      <c r="H521" s="68"/>
      <c r="I521" s="69"/>
      <c r="J521" s="68"/>
      <c r="K521" s="68">
        <v>259.5</v>
      </c>
      <c r="M521" s="66"/>
    </row>
    <row r="522" spans="1:13" x14ac:dyDescent="0.4">
      <c r="A522" s="68">
        <v>260</v>
      </c>
      <c r="B522" s="68">
        <f t="shared" si="35"/>
        <v>259.89999999999998</v>
      </c>
      <c r="C522" s="68">
        <v>4691260</v>
      </c>
      <c r="D522" s="68"/>
      <c r="E522" s="62">
        <f>I522*1000</f>
        <v>2911816.5517241382</v>
      </c>
      <c r="F522" s="68"/>
      <c r="G522" s="68">
        <v>260</v>
      </c>
      <c r="H522" s="68"/>
      <c r="I522" s="69">
        <f>(18/29)*(C522)/1000</f>
        <v>2911.8165517241382</v>
      </c>
      <c r="J522" s="70">
        <f>((22.41/273)*(A522+273))*((1/29)+((1/18)*I522))</f>
        <v>7079.3028088669962</v>
      </c>
      <c r="K522" s="68">
        <v>260</v>
      </c>
      <c r="M522" s="66"/>
    </row>
    <row r="523" spans="1:13" x14ac:dyDescent="0.4">
      <c r="A523" s="68">
        <v>260.5</v>
      </c>
      <c r="B523" s="68">
        <f t="shared" si="35"/>
        <v>260.39999999999998</v>
      </c>
      <c r="C523" s="68"/>
      <c r="D523" s="68"/>
      <c r="F523" s="68"/>
      <c r="G523" s="68">
        <v>260.5</v>
      </c>
      <c r="H523" s="68"/>
      <c r="I523" s="69"/>
      <c r="J523" s="68"/>
      <c r="K523" s="68">
        <v>260.5</v>
      </c>
      <c r="M523" s="66"/>
    </row>
    <row r="524" spans="1:13" x14ac:dyDescent="0.4">
      <c r="A524" s="68">
        <v>261</v>
      </c>
      <c r="B524" s="68">
        <f t="shared" si="35"/>
        <v>260.89999999999998</v>
      </c>
      <c r="C524" s="68"/>
      <c r="D524" s="68"/>
      <c r="F524" s="68"/>
      <c r="G524" s="68">
        <v>261</v>
      </c>
      <c r="H524" s="68"/>
      <c r="I524" s="69"/>
      <c r="J524" s="68"/>
      <c r="K524" s="68">
        <v>261</v>
      </c>
      <c r="M524" s="66"/>
    </row>
    <row r="525" spans="1:13" x14ac:dyDescent="0.4">
      <c r="A525" s="68">
        <v>261.5</v>
      </c>
      <c r="B525" s="68">
        <f t="shared" si="35"/>
        <v>261.39999999999998</v>
      </c>
      <c r="C525" s="68"/>
      <c r="D525" s="68"/>
      <c r="F525" s="68"/>
      <c r="G525" s="68">
        <v>261.5</v>
      </c>
      <c r="H525" s="68"/>
      <c r="I525" s="69"/>
      <c r="J525" s="68"/>
      <c r="K525" s="68">
        <v>261.5</v>
      </c>
      <c r="M525" s="66"/>
    </row>
    <row r="526" spans="1:13" x14ac:dyDescent="0.4">
      <c r="A526" s="68">
        <v>262</v>
      </c>
      <c r="B526" s="68">
        <f t="shared" si="35"/>
        <v>261.89999999999998</v>
      </c>
      <c r="C526" s="68"/>
      <c r="D526" s="68"/>
      <c r="F526" s="68"/>
      <c r="G526" s="68">
        <v>262</v>
      </c>
      <c r="H526" s="68"/>
      <c r="I526" s="69"/>
      <c r="J526" s="68"/>
      <c r="K526" s="68">
        <v>262</v>
      </c>
      <c r="M526" s="66"/>
    </row>
    <row r="527" spans="1:13" x14ac:dyDescent="0.4">
      <c r="A527" s="68">
        <v>262.5</v>
      </c>
      <c r="B527" s="68">
        <f t="shared" si="35"/>
        <v>262.39999999999998</v>
      </c>
      <c r="C527" s="68"/>
      <c r="D527" s="68"/>
      <c r="F527" s="68"/>
      <c r="G527" s="68">
        <v>262.5</v>
      </c>
      <c r="H527" s="68"/>
      <c r="I527" s="69"/>
      <c r="J527" s="68"/>
      <c r="K527" s="68">
        <v>262.5</v>
      </c>
      <c r="M527" s="66"/>
    </row>
    <row r="528" spans="1:13" x14ac:dyDescent="0.4">
      <c r="A528" s="68">
        <v>263</v>
      </c>
      <c r="B528" s="68">
        <f t="shared" si="35"/>
        <v>262.89999999999998</v>
      </c>
      <c r="C528" s="68"/>
      <c r="D528" s="68"/>
      <c r="F528" s="68"/>
      <c r="G528" s="68">
        <v>263</v>
      </c>
      <c r="H528" s="68"/>
      <c r="I528" s="69"/>
      <c r="J528" s="68"/>
      <c r="K528" s="68">
        <v>263</v>
      </c>
      <c r="M528" s="66"/>
    </row>
    <row r="529" spans="1:13" x14ac:dyDescent="0.4">
      <c r="A529" s="68">
        <v>263.5</v>
      </c>
      <c r="B529" s="68">
        <f t="shared" si="35"/>
        <v>263.39999999999998</v>
      </c>
      <c r="C529" s="68"/>
      <c r="D529" s="68"/>
      <c r="F529" s="68"/>
      <c r="G529" s="68">
        <v>263.5</v>
      </c>
      <c r="H529" s="68"/>
      <c r="I529" s="69"/>
      <c r="J529" s="68"/>
      <c r="K529" s="68">
        <v>263.5</v>
      </c>
      <c r="M529" s="66"/>
    </row>
    <row r="530" spans="1:13" x14ac:dyDescent="0.4">
      <c r="A530" s="68">
        <v>264</v>
      </c>
      <c r="B530" s="68">
        <f t="shared" si="35"/>
        <v>263.89999999999998</v>
      </c>
      <c r="C530" s="68"/>
      <c r="D530" s="68"/>
      <c r="F530" s="68"/>
      <c r="G530" s="68">
        <v>264</v>
      </c>
      <c r="H530" s="68"/>
      <c r="I530" s="69"/>
      <c r="J530" s="68"/>
      <c r="K530" s="68">
        <v>264</v>
      </c>
      <c r="M530" s="66"/>
    </row>
    <row r="531" spans="1:13" x14ac:dyDescent="0.4">
      <c r="A531" s="68">
        <v>264.5</v>
      </c>
      <c r="B531" s="68">
        <f t="shared" si="35"/>
        <v>264.39999999999998</v>
      </c>
      <c r="C531" s="68"/>
      <c r="D531" s="68"/>
      <c r="F531" s="68"/>
      <c r="G531" s="68">
        <v>264.5</v>
      </c>
      <c r="H531" s="68"/>
      <c r="I531" s="69"/>
      <c r="J531" s="68"/>
      <c r="K531" s="68">
        <v>264.5</v>
      </c>
      <c r="M531" s="66"/>
    </row>
    <row r="532" spans="1:13" x14ac:dyDescent="0.4">
      <c r="A532" s="68">
        <v>265</v>
      </c>
      <c r="B532" s="68">
        <f t="shared" si="35"/>
        <v>264.89999999999998</v>
      </c>
      <c r="C532" s="68"/>
      <c r="D532" s="68"/>
      <c r="F532" s="68"/>
      <c r="G532" s="68">
        <v>265</v>
      </c>
      <c r="H532" s="68"/>
      <c r="I532" s="69"/>
      <c r="J532" s="68"/>
      <c r="K532" s="68">
        <v>265</v>
      </c>
      <c r="M532" s="66"/>
    </row>
    <row r="533" spans="1:13" x14ac:dyDescent="0.4">
      <c r="A533" s="68">
        <v>265.5</v>
      </c>
      <c r="B533" s="68">
        <f t="shared" si="35"/>
        <v>265.39999999999998</v>
      </c>
      <c r="C533" s="68"/>
      <c r="D533" s="68"/>
      <c r="F533" s="68"/>
      <c r="G533" s="68">
        <v>265.5</v>
      </c>
      <c r="H533" s="68"/>
      <c r="I533" s="69"/>
      <c r="J533" s="68"/>
      <c r="K533" s="68">
        <v>265.5</v>
      </c>
      <c r="M533" s="66"/>
    </row>
    <row r="534" spans="1:13" x14ac:dyDescent="0.4">
      <c r="A534" s="68">
        <v>266</v>
      </c>
      <c r="B534" s="68">
        <f t="shared" si="35"/>
        <v>265.89999999999998</v>
      </c>
      <c r="C534" s="68"/>
      <c r="D534" s="68"/>
      <c r="F534" s="68"/>
      <c r="G534" s="68">
        <v>266</v>
      </c>
      <c r="H534" s="68"/>
      <c r="I534" s="69"/>
      <c r="J534" s="68"/>
      <c r="K534" s="68">
        <v>266</v>
      </c>
      <c r="M534" s="66"/>
    </row>
    <row r="535" spans="1:13" x14ac:dyDescent="0.4">
      <c r="A535" s="68">
        <v>266.5</v>
      </c>
      <c r="B535" s="68">
        <f t="shared" si="35"/>
        <v>266.39999999999998</v>
      </c>
      <c r="C535" s="68"/>
      <c r="D535" s="68"/>
      <c r="F535" s="68"/>
      <c r="G535" s="68">
        <v>266.5</v>
      </c>
      <c r="H535" s="68"/>
      <c r="I535" s="69"/>
      <c r="J535" s="68"/>
      <c r="K535" s="68">
        <v>266.5</v>
      </c>
      <c r="M535" s="66"/>
    </row>
    <row r="536" spans="1:13" x14ac:dyDescent="0.4">
      <c r="A536" s="68">
        <v>267</v>
      </c>
      <c r="B536" s="68">
        <f t="shared" si="35"/>
        <v>266.89999999999998</v>
      </c>
      <c r="C536" s="68"/>
      <c r="D536" s="68"/>
      <c r="F536" s="68"/>
      <c r="G536" s="68">
        <v>267</v>
      </c>
      <c r="H536" s="68"/>
      <c r="I536" s="69"/>
      <c r="J536" s="68"/>
      <c r="K536" s="68">
        <v>267</v>
      </c>
      <c r="M536" s="66"/>
    </row>
    <row r="537" spans="1:13" x14ac:dyDescent="0.4">
      <c r="A537" s="68">
        <v>267.5</v>
      </c>
      <c r="B537" s="68">
        <f t="shared" si="35"/>
        <v>267.39999999999998</v>
      </c>
      <c r="C537" s="68"/>
      <c r="D537" s="68"/>
      <c r="F537" s="68"/>
      <c r="G537" s="68">
        <v>267.5</v>
      </c>
      <c r="H537" s="68"/>
      <c r="I537" s="69"/>
      <c r="J537" s="68"/>
      <c r="K537" s="68">
        <v>267.5</v>
      </c>
      <c r="M537" s="66"/>
    </row>
    <row r="538" spans="1:13" x14ac:dyDescent="0.4">
      <c r="A538" s="68">
        <v>268</v>
      </c>
      <c r="B538" s="68">
        <f t="shared" si="35"/>
        <v>267.89999999999998</v>
      </c>
      <c r="C538" s="68"/>
      <c r="D538" s="68"/>
      <c r="F538" s="68"/>
      <c r="G538" s="68">
        <v>268</v>
      </c>
      <c r="H538" s="68"/>
      <c r="I538" s="69"/>
      <c r="J538" s="68"/>
      <c r="K538" s="68">
        <v>268</v>
      </c>
      <c r="M538" s="66"/>
    </row>
    <row r="539" spans="1:13" x14ac:dyDescent="0.4">
      <c r="A539" s="68">
        <v>268.5</v>
      </c>
      <c r="B539" s="68">
        <f t="shared" si="35"/>
        <v>268.39999999999998</v>
      </c>
      <c r="C539" s="68"/>
      <c r="D539" s="68"/>
      <c r="F539" s="68"/>
      <c r="G539" s="68">
        <v>268.5</v>
      </c>
      <c r="H539" s="68"/>
      <c r="I539" s="69"/>
      <c r="J539" s="68"/>
      <c r="K539" s="68">
        <v>268.5</v>
      </c>
      <c r="M539" s="66"/>
    </row>
    <row r="540" spans="1:13" x14ac:dyDescent="0.4">
      <c r="A540" s="68">
        <v>269</v>
      </c>
      <c r="B540" s="68">
        <f t="shared" si="35"/>
        <v>268.89999999999998</v>
      </c>
      <c r="C540" s="68"/>
      <c r="D540" s="68"/>
      <c r="F540" s="68"/>
      <c r="G540" s="68">
        <v>269</v>
      </c>
      <c r="H540" s="68"/>
      <c r="I540" s="69"/>
      <c r="J540" s="68"/>
      <c r="K540" s="68">
        <v>269</v>
      </c>
      <c r="M540" s="66"/>
    </row>
    <row r="541" spans="1:13" x14ac:dyDescent="0.4">
      <c r="A541" s="68">
        <v>269.5</v>
      </c>
      <c r="B541" s="68">
        <f t="shared" si="35"/>
        <v>269.39999999999998</v>
      </c>
      <c r="C541" s="68"/>
      <c r="D541" s="68"/>
      <c r="F541" s="68"/>
      <c r="G541" s="68">
        <v>269.5</v>
      </c>
      <c r="H541" s="68"/>
      <c r="I541" s="69"/>
      <c r="J541" s="68"/>
      <c r="K541" s="68">
        <v>269.5</v>
      </c>
      <c r="M541" s="66"/>
    </row>
    <row r="542" spans="1:13" x14ac:dyDescent="0.4">
      <c r="A542" s="68">
        <v>270</v>
      </c>
      <c r="B542" s="68">
        <f t="shared" si="35"/>
        <v>269.89999999999998</v>
      </c>
      <c r="C542" s="68"/>
      <c r="D542" s="68"/>
      <c r="F542" s="68"/>
      <c r="G542" s="68">
        <v>270</v>
      </c>
      <c r="H542" s="68"/>
      <c r="I542" s="69"/>
      <c r="J542" s="68"/>
      <c r="K542" s="68">
        <v>270</v>
      </c>
      <c r="M542" s="66"/>
    </row>
    <row r="543" spans="1:13" x14ac:dyDescent="0.4">
      <c r="A543" s="68">
        <v>270.5</v>
      </c>
      <c r="B543" s="68">
        <f t="shared" si="35"/>
        <v>270.39999999999998</v>
      </c>
      <c r="C543" s="68"/>
      <c r="D543" s="68"/>
      <c r="F543" s="68"/>
      <c r="G543" s="68">
        <v>270.5</v>
      </c>
      <c r="H543" s="68"/>
      <c r="I543" s="69"/>
      <c r="J543" s="68"/>
      <c r="K543" s="68">
        <v>270.5</v>
      </c>
      <c r="M543" s="66"/>
    </row>
    <row r="544" spans="1:13" x14ac:dyDescent="0.4">
      <c r="A544" s="68">
        <v>271</v>
      </c>
      <c r="B544" s="68">
        <f t="shared" si="35"/>
        <v>270.89999999999998</v>
      </c>
      <c r="C544" s="68"/>
      <c r="D544" s="68"/>
      <c r="F544" s="68"/>
      <c r="G544" s="68">
        <v>271</v>
      </c>
      <c r="H544" s="68"/>
      <c r="I544" s="69"/>
      <c r="J544" s="68"/>
      <c r="K544" s="68">
        <v>271</v>
      </c>
      <c r="M544" s="66"/>
    </row>
    <row r="545" spans="1:13" x14ac:dyDescent="0.4">
      <c r="A545" s="68">
        <v>271.5</v>
      </c>
      <c r="B545" s="68">
        <f t="shared" si="35"/>
        <v>271.39999999999998</v>
      </c>
      <c r="C545" s="68"/>
      <c r="D545" s="68"/>
      <c r="F545" s="68"/>
      <c r="G545" s="68">
        <v>271.5</v>
      </c>
      <c r="H545" s="68"/>
      <c r="I545" s="69"/>
      <c r="J545" s="68"/>
      <c r="K545" s="68">
        <v>271.5</v>
      </c>
      <c r="M545" s="66"/>
    </row>
    <row r="546" spans="1:13" x14ac:dyDescent="0.4">
      <c r="A546" s="68">
        <v>272</v>
      </c>
      <c r="B546" s="68">
        <f t="shared" si="35"/>
        <v>271.89999999999998</v>
      </c>
      <c r="C546" s="68"/>
      <c r="D546" s="68"/>
      <c r="F546" s="68"/>
      <c r="G546" s="68">
        <v>272</v>
      </c>
      <c r="H546" s="68"/>
      <c r="I546" s="69"/>
      <c r="J546" s="68"/>
      <c r="K546" s="68">
        <v>272</v>
      </c>
      <c r="M546" s="66"/>
    </row>
    <row r="547" spans="1:13" x14ac:dyDescent="0.4">
      <c r="A547" s="68">
        <v>272.5</v>
      </c>
      <c r="B547" s="68">
        <f t="shared" si="35"/>
        <v>272.39999999999998</v>
      </c>
      <c r="C547" s="68"/>
      <c r="D547" s="68"/>
      <c r="F547" s="68"/>
      <c r="G547" s="68">
        <v>272.5</v>
      </c>
      <c r="H547" s="68"/>
      <c r="I547" s="69"/>
      <c r="J547" s="68"/>
      <c r="K547" s="68">
        <v>272.5</v>
      </c>
      <c r="M547" s="66"/>
    </row>
    <row r="548" spans="1:13" x14ac:dyDescent="0.4">
      <c r="A548" s="68">
        <v>273</v>
      </c>
      <c r="B548" s="68">
        <f t="shared" si="35"/>
        <v>272.89999999999998</v>
      </c>
      <c r="C548" s="68"/>
      <c r="D548" s="68"/>
      <c r="F548" s="68"/>
      <c r="G548" s="68">
        <v>273</v>
      </c>
      <c r="H548" s="68"/>
      <c r="I548" s="69"/>
      <c r="J548" s="68"/>
      <c r="K548" s="68">
        <v>273</v>
      </c>
      <c r="M548" s="66"/>
    </row>
    <row r="549" spans="1:13" x14ac:dyDescent="0.4">
      <c r="A549" s="68">
        <v>273.5</v>
      </c>
      <c r="B549" s="68">
        <f t="shared" si="35"/>
        <v>273.39999999999998</v>
      </c>
      <c r="C549" s="68"/>
      <c r="D549" s="68"/>
      <c r="F549" s="68"/>
      <c r="G549" s="68">
        <v>273.5</v>
      </c>
      <c r="H549" s="68"/>
      <c r="I549" s="69"/>
      <c r="J549" s="68"/>
      <c r="K549" s="68">
        <v>273.5</v>
      </c>
      <c r="M549" s="66"/>
    </row>
    <row r="550" spans="1:13" x14ac:dyDescent="0.4">
      <c r="A550" s="68">
        <v>274</v>
      </c>
      <c r="B550" s="68">
        <f t="shared" si="35"/>
        <v>273.89999999999998</v>
      </c>
      <c r="C550" s="68"/>
      <c r="D550" s="68"/>
      <c r="F550" s="68"/>
      <c r="G550" s="68">
        <v>274</v>
      </c>
      <c r="H550" s="68"/>
      <c r="I550" s="69"/>
      <c r="J550" s="68"/>
      <c r="K550" s="68">
        <v>274</v>
      </c>
      <c r="M550" s="66"/>
    </row>
    <row r="551" spans="1:13" x14ac:dyDescent="0.4">
      <c r="A551" s="68">
        <v>274.5</v>
      </c>
      <c r="B551" s="68">
        <f t="shared" si="35"/>
        <v>274.39999999999998</v>
      </c>
      <c r="C551" s="68"/>
      <c r="D551" s="68"/>
      <c r="F551" s="68"/>
      <c r="G551" s="68">
        <v>274.5</v>
      </c>
      <c r="H551" s="68"/>
      <c r="I551" s="69"/>
      <c r="J551" s="68"/>
      <c r="K551" s="68">
        <v>274.5</v>
      </c>
      <c r="M551" s="66"/>
    </row>
    <row r="552" spans="1:13" x14ac:dyDescent="0.4">
      <c r="A552" s="68">
        <v>275</v>
      </c>
      <c r="B552" s="68">
        <f t="shared" si="35"/>
        <v>274.89999999999998</v>
      </c>
      <c r="C552" s="68"/>
      <c r="D552" s="68"/>
      <c r="F552" s="68"/>
      <c r="G552" s="68">
        <v>275</v>
      </c>
      <c r="H552" s="68"/>
      <c r="I552" s="69"/>
      <c r="J552" s="68"/>
      <c r="K552" s="68">
        <v>275</v>
      </c>
      <c r="M552" s="66"/>
    </row>
    <row r="553" spans="1:13" x14ac:dyDescent="0.4">
      <c r="A553" s="68">
        <v>275.5</v>
      </c>
      <c r="B553" s="68">
        <f t="shared" si="35"/>
        <v>275.39999999999998</v>
      </c>
      <c r="C553" s="68"/>
      <c r="D553" s="68"/>
      <c r="F553" s="68"/>
      <c r="G553" s="68">
        <v>275.5</v>
      </c>
      <c r="H553" s="68"/>
      <c r="I553" s="69"/>
      <c r="J553" s="68"/>
      <c r="K553" s="68">
        <v>275.5</v>
      </c>
      <c r="M553" s="66"/>
    </row>
    <row r="554" spans="1:13" x14ac:dyDescent="0.4">
      <c r="A554" s="68">
        <v>276</v>
      </c>
      <c r="B554" s="68">
        <f t="shared" si="35"/>
        <v>275.89999999999998</v>
      </c>
      <c r="C554" s="68"/>
      <c r="D554" s="68"/>
      <c r="F554" s="68"/>
      <c r="G554" s="68">
        <v>276</v>
      </c>
      <c r="H554" s="68"/>
      <c r="I554" s="69"/>
      <c r="J554" s="68"/>
      <c r="K554" s="68">
        <v>276</v>
      </c>
      <c r="M554" s="66"/>
    </row>
    <row r="555" spans="1:13" x14ac:dyDescent="0.4">
      <c r="A555" s="68">
        <v>276.5</v>
      </c>
      <c r="B555" s="68">
        <f t="shared" si="35"/>
        <v>276.39999999999998</v>
      </c>
      <c r="C555" s="68"/>
      <c r="D555" s="68"/>
      <c r="F555" s="68"/>
      <c r="G555" s="68">
        <v>276.5</v>
      </c>
      <c r="H555" s="68"/>
      <c r="I555" s="69"/>
      <c r="J555" s="68"/>
      <c r="K555" s="68">
        <v>276.5</v>
      </c>
      <c r="M555" s="66"/>
    </row>
    <row r="556" spans="1:13" x14ac:dyDescent="0.4">
      <c r="A556" s="68">
        <v>277</v>
      </c>
      <c r="B556" s="68">
        <f t="shared" si="35"/>
        <v>276.89999999999998</v>
      </c>
      <c r="C556" s="68"/>
      <c r="D556" s="68"/>
      <c r="F556" s="68"/>
      <c r="G556" s="68">
        <v>277</v>
      </c>
      <c r="H556" s="68"/>
      <c r="I556" s="69"/>
      <c r="J556" s="68"/>
      <c r="K556" s="68">
        <v>277</v>
      </c>
      <c r="M556" s="66"/>
    </row>
    <row r="557" spans="1:13" x14ac:dyDescent="0.4">
      <c r="A557" s="68">
        <v>277.5</v>
      </c>
      <c r="B557" s="68">
        <f t="shared" si="35"/>
        <v>277.39999999999998</v>
      </c>
      <c r="C557" s="68"/>
      <c r="D557" s="68"/>
      <c r="F557" s="68"/>
      <c r="G557" s="68">
        <v>277.5</v>
      </c>
      <c r="H557" s="68"/>
      <c r="I557" s="69"/>
      <c r="J557" s="68"/>
      <c r="K557" s="68">
        <v>277.5</v>
      </c>
      <c r="M557" s="66"/>
    </row>
    <row r="558" spans="1:13" x14ac:dyDescent="0.4">
      <c r="A558" s="68">
        <v>278</v>
      </c>
      <c r="B558" s="68">
        <f t="shared" si="35"/>
        <v>277.89999999999998</v>
      </c>
      <c r="C558" s="68"/>
      <c r="D558" s="68"/>
      <c r="F558" s="68"/>
      <c r="G558" s="68">
        <v>278</v>
      </c>
      <c r="H558" s="68"/>
      <c r="I558" s="69"/>
      <c r="J558" s="68"/>
      <c r="K558" s="68">
        <v>278</v>
      </c>
      <c r="M558" s="66"/>
    </row>
    <row r="559" spans="1:13" x14ac:dyDescent="0.4">
      <c r="A559" s="68">
        <v>278.5</v>
      </c>
      <c r="B559" s="68">
        <f t="shared" si="35"/>
        <v>278.39999999999998</v>
      </c>
      <c r="C559" s="68"/>
      <c r="D559" s="68"/>
      <c r="F559" s="68"/>
      <c r="G559" s="68">
        <v>278.5</v>
      </c>
      <c r="H559" s="68"/>
      <c r="I559" s="69"/>
      <c r="J559" s="68"/>
      <c r="K559" s="68">
        <v>278.5</v>
      </c>
      <c r="M559" s="66"/>
    </row>
    <row r="560" spans="1:13" x14ac:dyDescent="0.4">
      <c r="A560" s="68">
        <v>279</v>
      </c>
      <c r="B560" s="68">
        <f t="shared" si="35"/>
        <v>278.89999999999998</v>
      </c>
      <c r="C560" s="68"/>
      <c r="D560" s="68"/>
      <c r="F560" s="68"/>
      <c r="G560" s="68">
        <v>279</v>
      </c>
      <c r="H560" s="68"/>
      <c r="I560" s="69"/>
      <c r="J560" s="68"/>
      <c r="K560" s="68">
        <v>279</v>
      </c>
      <c r="M560" s="66"/>
    </row>
    <row r="561" spans="1:13" x14ac:dyDescent="0.4">
      <c r="A561" s="68">
        <v>279.5</v>
      </c>
      <c r="B561" s="68">
        <f t="shared" si="35"/>
        <v>279.39999999999998</v>
      </c>
      <c r="C561" s="68"/>
      <c r="D561" s="68"/>
      <c r="F561" s="68"/>
      <c r="G561" s="68">
        <v>279.5</v>
      </c>
      <c r="H561" s="68"/>
      <c r="I561" s="69"/>
      <c r="J561" s="68"/>
      <c r="K561" s="68">
        <v>279.5</v>
      </c>
      <c r="M561" s="66"/>
    </row>
    <row r="562" spans="1:13" x14ac:dyDescent="0.4">
      <c r="A562" s="68">
        <v>280</v>
      </c>
      <c r="B562" s="68">
        <f t="shared" si="35"/>
        <v>279.89999999999998</v>
      </c>
      <c r="C562" s="68">
        <v>6413250</v>
      </c>
      <c r="D562" s="68"/>
      <c r="E562" s="62">
        <f>I562*1000</f>
        <v>3980637.931034483</v>
      </c>
      <c r="F562" s="68"/>
      <c r="G562" s="68">
        <v>280</v>
      </c>
      <c r="H562" s="68"/>
      <c r="I562" s="69">
        <f>(18/29)*(C562)/1000</f>
        <v>3980.6379310344828</v>
      </c>
      <c r="J562" s="70">
        <f>((22.41/273)*(A562+273))*((1/29)+((1/18)*I562))</f>
        <v>10040.42799071618</v>
      </c>
      <c r="K562" s="68">
        <v>280</v>
      </c>
      <c r="M562" s="66"/>
    </row>
    <row r="563" spans="1:13" x14ac:dyDescent="0.4">
      <c r="A563" s="68">
        <v>280.5</v>
      </c>
      <c r="B563" s="68">
        <f t="shared" si="35"/>
        <v>280.39999999999998</v>
      </c>
      <c r="C563" s="68"/>
      <c r="D563" s="68"/>
      <c r="F563" s="68"/>
      <c r="G563" s="68">
        <v>280.5</v>
      </c>
      <c r="H563" s="68"/>
      <c r="I563" s="69"/>
      <c r="J563" s="68"/>
      <c r="K563" s="68">
        <v>280.5</v>
      </c>
      <c r="M563" s="66"/>
    </row>
    <row r="564" spans="1:13" x14ac:dyDescent="0.4">
      <c r="A564" s="68">
        <v>281</v>
      </c>
      <c r="B564" s="68">
        <f t="shared" si="35"/>
        <v>280.89999999999998</v>
      </c>
      <c r="C564" s="68"/>
      <c r="D564" s="68"/>
      <c r="F564" s="68"/>
      <c r="G564" s="68">
        <v>281</v>
      </c>
      <c r="H564" s="68"/>
      <c r="I564" s="69"/>
      <c r="J564" s="68"/>
      <c r="K564" s="68">
        <v>281</v>
      </c>
      <c r="M564" s="66"/>
    </row>
    <row r="565" spans="1:13" x14ac:dyDescent="0.4">
      <c r="A565" s="68">
        <v>281.5</v>
      </c>
      <c r="B565" s="68">
        <f t="shared" si="35"/>
        <v>281.39999999999998</v>
      </c>
      <c r="C565" s="68"/>
      <c r="D565" s="68"/>
      <c r="F565" s="68"/>
      <c r="G565" s="68">
        <v>281.5</v>
      </c>
      <c r="H565" s="68"/>
      <c r="I565" s="69"/>
      <c r="J565" s="68"/>
      <c r="K565" s="68">
        <v>281.5</v>
      </c>
      <c r="M565" s="66"/>
    </row>
    <row r="566" spans="1:13" x14ac:dyDescent="0.4">
      <c r="A566" s="68">
        <v>282</v>
      </c>
      <c r="B566" s="68">
        <f t="shared" si="35"/>
        <v>281.89999999999998</v>
      </c>
      <c r="C566" s="68"/>
      <c r="D566" s="68"/>
      <c r="F566" s="68"/>
      <c r="G566" s="68">
        <v>282</v>
      </c>
      <c r="H566" s="68"/>
      <c r="I566" s="69"/>
      <c r="J566" s="68"/>
      <c r="K566" s="68">
        <v>282</v>
      </c>
      <c r="M566" s="66"/>
    </row>
    <row r="567" spans="1:13" x14ac:dyDescent="0.4">
      <c r="A567" s="68">
        <v>282.5</v>
      </c>
      <c r="B567" s="68">
        <f t="shared" si="35"/>
        <v>282.39999999999998</v>
      </c>
      <c r="C567" s="68"/>
      <c r="D567" s="68"/>
      <c r="F567" s="68"/>
      <c r="G567" s="68">
        <v>282.5</v>
      </c>
      <c r="H567" s="68"/>
      <c r="I567" s="69"/>
      <c r="J567" s="68"/>
      <c r="K567" s="68">
        <v>282.5</v>
      </c>
      <c r="M567" s="66"/>
    </row>
    <row r="568" spans="1:13" x14ac:dyDescent="0.4">
      <c r="A568" s="68">
        <v>283</v>
      </c>
      <c r="B568" s="68">
        <f t="shared" si="35"/>
        <v>282.89999999999998</v>
      </c>
      <c r="C568" s="68"/>
      <c r="D568" s="68"/>
      <c r="F568" s="68"/>
      <c r="G568" s="68">
        <v>283</v>
      </c>
      <c r="H568" s="68"/>
      <c r="I568" s="69"/>
      <c r="J568" s="68"/>
      <c r="K568" s="68">
        <v>283</v>
      </c>
      <c r="M568" s="66"/>
    </row>
    <row r="569" spans="1:13" x14ac:dyDescent="0.4">
      <c r="A569" s="68">
        <v>283.5</v>
      </c>
      <c r="B569" s="68">
        <f t="shared" si="35"/>
        <v>283.39999999999998</v>
      </c>
      <c r="C569" s="68"/>
      <c r="D569" s="68"/>
      <c r="F569" s="68"/>
      <c r="G569" s="68">
        <v>283.5</v>
      </c>
      <c r="H569" s="68"/>
      <c r="I569" s="69"/>
      <c r="J569" s="68"/>
      <c r="K569" s="68">
        <v>283.5</v>
      </c>
      <c r="M569" s="66"/>
    </row>
    <row r="570" spans="1:13" x14ac:dyDescent="0.4">
      <c r="A570" s="68">
        <v>284</v>
      </c>
      <c r="B570" s="68">
        <f t="shared" si="35"/>
        <v>283.89999999999998</v>
      </c>
      <c r="C570" s="68"/>
      <c r="D570" s="68"/>
      <c r="F570" s="68"/>
      <c r="G570" s="68">
        <v>284</v>
      </c>
      <c r="H570" s="68"/>
      <c r="I570" s="69"/>
      <c r="J570" s="68"/>
      <c r="K570" s="68">
        <v>284</v>
      </c>
      <c r="M570" s="66"/>
    </row>
    <row r="571" spans="1:13" x14ac:dyDescent="0.4">
      <c r="A571" s="68">
        <v>284.5</v>
      </c>
      <c r="B571" s="68">
        <f t="shared" si="35"/>
        <v>284.39999999999998</v>
      </c>
      <c r="C571" s="68"/>
      <c r="D571" s="68"/>
      <c r="F571" s="68"/>
      <c r="G571" s="68">
        <v>284.5</v>
      </c>
      <c r="H571" s="68"/>
      <c r="I571" s="69"/>
      <c r="J571" s="68"/>
      <c r="K571" s="68">
        <v>284.5</v>
      </c>
      <c r="M571" s="66"/>
    </row>
    <row r="572" spans="1:13" x14ac:dyDescent="0.4">
      <c r="A572" s="68">
        <v>285</v>
      </c>
      <c r="B572" s="68">
        <f t="shared" si="35"/>
        <v>284.89999999999998</v>
      </c>
      <c r="C572" s="68"/>
      <c r="D572" s="68"/>
      <c r="F572" s="68"/>
      <c r="G572" s="68">
        <v>285</v>
      </c>
      <c r="H572" s="68"/>
      <c r="I572" s="69"/>
      <c r="J572" s="68"/>
      <c r="K572" s="68">
        <v>285</v>
      </c>
      <c r="M572" s="66"/>
    </row>
    <row r="573" spans="1:13" x14ac:dyDescent="0.4">
      <c r="A573" s="68">
        <v>285.5</v>
      </c>
      <c r="B573" s="68">
        <f t="shared" si="35"/>
        <v>285.39999999999998</v>
      </c>
      <c r="C573" s="68"/>
      <c r="D573" s="68"/>
      <c r="F573" s="68"/>
      <c r="G573" s="68">
        <v>285.5</v>
      </c>
      <c r="H573" s="68"/>
      <c r="I573" s="69"/>
      <c r="J573" s="68"/>
      <c r="K573" s="68">
        <v>285.5</v>
      </c>
      <c r="M573" s="66"/>
    </row>
    <row r="574" spans="1:13" x14ac:dyDescent="0.4">
      <c r="A574" s="68">
        <v>286</v>
      </c>
      <c r="B574" s="68">
        <f t="shared" si="35"/>
        <v>285.89999999999998</v>
      </c>
      <c r="C574" s="68"/>
      <c r="D574" s="68"/>
      <c r="F574" s="68"/>
      <c r="G574" s="68">
        <v>286</v>
      </c>
      <c r="H574" s="68"/>
      <c r="I574" s="69"/>
      <c r="J574" s="68"/>
      <c r="K574" s="68">
        <v>286</v>
      </c>
      <c r="M574" s="66"/>
    </row>
    <row r="575" spans="1:13" x14ac:dyDescent="0.4">
      <c r="A575" s="68">
        <v>286.5</v>
      </c>
      <c r="B575" s="68">
        <f t="shared" si="35"/>
        <v>286.39999999999998</v>
      </c>
      <c r="C575" s="68"/>
      <c r="D575" s="68"/>
      <c r="F575" s="68"/>
      <c r="G575" s="68">
        <v>286.5</v>
      </c>
      <c r="H575" s="68"/>
      <c r="I575" s="69"/>
      <c r="J575" s="68"/>
      <c r="K575" s="68">
        <v>286.5</v>
      </c>
      <c r="M575" s="66"/>
    </row>
    <row r="576" spans="1:13" x14ac:dyDescent="0.4">
      <c r="A576" s="68">
        <v>287</v>
      </c>
      <c r="B576" s="68">
        <f t="shared" si="35"/>
        <v>286.89999999999998</v>
      </c>
      <c r="C576" s="68"/>
      <c r="D576" s="68"/>
      <c r="F576" s="68"/>
      <c r="G576" s="68">
        <v>287</v>
      </c>
      <c r="H576" s="68"/>
      <c r="I576" s="69"/>
      <c r="J576" s="68"/>
      <c r="K576" s="68">
        <v>287</v>
      </c>
      <c r="M576" s="66"/>
    </row>
    <row r="577" spans="1:13" x14ac:dyDescent="0.4">
      <c r="A577" s="68">
        <v>287.5</v>
      </c>
      <c r="B577" s="68">
        <f t="shared" si="35"/>
        <v>287.39999999999998</v>
      </c>
      <c r="C577" s="68"/>
      <c r="D577" s="68"/>
      <c r="F577" s="68"/>
      <c r="G577" s="68">
        <v>287.5</v>
      </c>
      <c r="H577" s="68"/>
      <c r="I577" s="69"/>
      <c r="J577" s="68"/>
      <c r="K577" s="68">
        <v>287.5</v>
      </c>
      <c r="M577" s="66"/>
    </row>
    <row r="578" spans="1:13" x14ac:dyDescent="0.4">
      <c r="A578" s="68">
        <v>288</v>
      </c>
      <c r="B578" s="68">
        <f t="shared" ref="B578:B641" si="36">A578-0.1</f>
        <v>287.89999999999998</v>
      </c>
      <c r="C578" s="68"/>
      <c r="D578" s="68"/>
      <c r="F578" s="68"/>
      <c r="G578" s="68">
        <v>288</v>
      </c>
      <c r="H578" s="68"/>
      <c r="I578" s="69"/>
      <c r="J578" s="68"/>
      <c r="K578" s="68">
        <v>288</v>
      </c>
      <c r="M578" s="66"/>
    </row>
    <row r="579" spans="1:13" x14ac:dyDescent="0.4">
      <c r="A579" s="68">
        <v>288.5</v>
      </c>
      <c r="B579" s="68">
        <f t="shared" si="36"/>
        <v>288.39999999999998</v>
      </c>
      <c r="C579" s="68"/>
      <c r="D579" s="68"/>
      <c r="F579" s="68"/>
      <c r="G579" s="68">
        <v>288.5</v>
      </c>
      <c r="H579" s="68"/>
      <c r="I579" s="69"/>
      <c r="J579" s="68"/>
      <c r="K579" s="68">
        <v>288.5</v>
      </c>
      <c r="M579" s="66"/>
    </row>
    <row r="580" spans="1:13" x14ac:dyDescent="0.4">
      <c r="A580" s="68">
        <v>289</v>
      </c>
      <c r="B580" s="68">
        <f t="shared" si="36"/>
        <v>288.89999999999998</v>
      </c>
      <c r="C580" s="68"/>
      <c r="D580" s="68"/>
      <c r="F580" s="68"/>
      <c r="G580" s="68">
        <v>289</v>
      </c>
      <c r="H580" s="68"/>
      <c r="I580" s="69"/>
      <c r="J580" s="68"/>
      <c r="K580" s="68">
        <v>289</v>
      </c>
      <c r="M580" s="66"/>
    </row>
    <row r="581" spans="1:13" x14ac:dyDescent="0.4">
      <c r="A581" s="68">
        <v>289.5</v>
      </c>
      <c r="B581" s="68">
        <f t="shared" si="36"/>
        <v>289.39999999999998</v>
      </c>
      <c r="C581" s="68"/>
      <c r="D581" s="68"/>
      <c r="F581" s="68"/>
      <c r="G581" s="68">
        <v>289.5</v>
      </c>
      <c r="H581" s="68"/>
      <c r="I581" s="69"/>
      <c r="J581" s="68"/>
      <c r="K581" s="68">
        <v>289.5</v>
      </c>
      <c r="M581" s="66"/>
    </row>
    <row r="582" spans="1:13" x14ac:dyDescent="0.4">
      <c r="A582" s="68">
        <v>290</v>
      </c>
      <c r="B582" s="68">
        <f t="shared" si="36"/>
        <v>289.89999999999998</v>
      </c>
      <c r="C582" s="68"/>
      <c r="D582" s="68"/>
      <c r="F582" s="68"/>
      <c r="G582" s="68">
        <v>290</v>
      </c>
      <c r="H582" s="68"/>
      <c r="I582" s="69"/>
      <c r="J582" s="68"/>
      <c r="K582" s="68">
        <v>290</v>
      </c>
      <c r="M582" s="66"/>
    </row>
    <row r="583" spans="1:13" x14ac:dyDescent="0.4">
      <c r="A583" s="68">
        <v>290.5</v>
      </c>
      <c r="B583" s="68">
        <f t="shared" si="36"/>
        <v>290.39999999999998</v>
      </c>
      <c r="C583" s="68"/>
      <c r="D583" s="68"/>
      <c r="F583" s="68"/>
      <c r="G583" s="68">
        <v>290.5</v>
      </c>
      <c r="H583" s="68"/>
      <c r="I583" s="69"/>
      <c r="J583" s="68"/>
      <c r="K583" s="68">
        <v>290.5</v>
      </c>
      <c r="M583" s="66"/>
    </row>
    <row r="584" spans="1:13" x14ac:dyDescent="0.4">
      <c r="A584" s="68">
        <v>291</v>
      </c>
      <c r="B584" s="68">
        <f t="shared" si="36"/>
        <v>290.89999999999998</v>
      </c>
      <c r="C584" s="68"/>
      <c r="D584" s="68"/>
      <c r="F584" s="68"/>
      <c r="G584" s="68">
        <v>291</v>
      </c>
      <c r="H584" s="68"/>
      <c r="I584" s="69"/>
      <c r="J584" s="68"/>
      <c r="K584" s="68">
        <v>291</v>
      </c>
      <c r="M584" s="66"/>
    </row>
    <row r="585" spans="1:13" x14ac:dyDescent="0.4">
      <c r="A585" s="68">
        <v>291.5</v>
      </c>
      <c r="B585" s="68">
        <f t="shared" si="36"/>
        <v>291.39999999999998</v>
      </c>
      <c r="C585" s="68"/>
      <c r="D585" s="68"/>
      <c r="F585" s="68"/>
      <c r="G585" s="68">
        <v>291.5</v>
      </c>
      <c r="H585" s="68"/>
      <c r="I585" s="69"/>
      <c r="J585" s="68"/>
      <c r="K585" s="68">
        <v>291.5</v>
      </c>
      <c r="M585" s="66"/>
    </row>
    <row r="586" spans="1:13" x14ac:dyDescent="0.4">
      <c r="A586" s="68">
        <v>292</v>
      </c>
      <c r="B586" s="68">
        <f t="shared" si="36"/>
        <v>291.89999999999998</v>
      </c>
      <c r="C586" s="68"/>
      <c r="D586" s="68"/>
      <c r="F586" s="68"/>
      <c r="G586" s="68">
        <v>292</v>
      </c>
      <c r="H586" s="68"/>
      <c r="I586" s="69"/>
      <c r="J586" s="68"/>
      <c r="K586" s="68">
        <v>292</v>
      </c>
      <c r="M586" s="66"/>
    </row>
    <row r="587" spans="1:13" x14ac:dyDescent="0.4">
      <c r="A587" s="68">
        <v>292.5</v>
      </c>
      <c r="B587" s="68">
        <f t="shared" si="36"/>
        <v>292.39999999999998</v>
      </c>
      <c r="C587" s="68"/>
      <c r="D587" s="68"/>
      <c r="F587" s="68"/>
      <c r="G587" s="68">
        <v>292.5</v>
      </c>
      <c r="H587" s="68"/>
      <c r="I587" s="69"/>
      <c r="J587" s="68"/>
      <c r="K587" s="68">
        <v>292.5</v>
      </c>
      <c r="M587" s="66"/>
    </row>
    <row r="588" spans="1:13" x14ac:dyDescent="0.4">
      <c r="A588" s="68">
        <v>293</v>
      </c>
      <c r="B588" s="68">
        <f t="shared" si="36"/>
        <v>292.89999999999998</v>
      </c>
      <c r="C588" s="68"/>
      <c r="D588" s="68"/>
      <c r="F588" s="68"/>
      <c r="G588" s="68">
        <v>293</v>
      </c>
      <c r="H588" s="68"/>
      <c r="I588" s="69"/>
      <c r="J588" s="68"/>
      <c r="K588" s="68">
        <v>293</v>
      </c>
      <c r="M588" s="66"/>
    </row>
    <row r="589" spans="1:13" x14ac:dyDescent="0.4">
      <c r="A589" s="68">
        <v>293.5</v>
      </c>
      <c r="B589" s="68">
        <f t="shared" si="36"/>
        <v>293.39999999999998</v>
      </c>
      <c r="C589" s="68"/>
      <c r="D589" s="68"/>
      <c r="F589" s="68"/>
      <c r="G589" s="68">
        <v>293.5</v>
      </c>
      <c r="H589" s="68"/>
      <c r="I589" s="69"/>
      <c r="J589" s="68"/>
      <c r="K589" s="68">
        <v>293.5</v>
      </c>
      <c r="M589" s="66"/>
    </row>
    <row r="590" spans="1:13" x14ac:dyDescent="0.4">
      <c r="A590" s="68">
        <v>294</v>
      </c>
      <c r="B590" s="68">
        <f t="shared" si="36"/>
        <v>293.89999999999998</v>
      </c>
      <c r="C590" s="68"/>
      <c r="D590" s="68"/>
      <c r="F590" s="68"/>
      <c r="G590" s="68">
        <v>294</v>
      </c>
      <c r="H590" s="68"/>
      <c r="I590" s="69"/>
      <c r="J590" s="68"/>
      <c r="K590" s="68">
        <v>294</v>
      </c>
      <c r="M590" s="66"/>
    </row>
    <row r="591" spans="1:13" x14ac:dyDescent="0.4">
      <c r="A591" s="68">
        <v>294.5</v>
      </c>
      <c r="B591" s="68">
        <f t="shared" si="36"/>
        <v>294.39999999999998</v>
      </c>
      <c r="C591" s="68"/>
      <c r="D591" s="68"/>
      <c r="F591" s="68"/>
      <c r="G591" s="68">
        <v>294.5</v>
      </c>
      <c r="H591" s="68"/>
      <c r="I591" s="69"/>
      <c r="J591" s="68"/>
      <c r="K591" s="68">
        <v>294.5</v>
      </c>
      <c r="M591" s="66"/>
    </row>
    <row r="592" spans="1:13" x14ac:dyDescent="0.4">
      <c r="A592" s="68">
        <v>295</v>
      </c>
      <c r="B592" s="68">
        <f t="shared" si="36"/>
        <v>294.89999999999998</v>
      </c>
      <c r="C592" s="68"/>
      <c r="D592" s="68"/>
      <c r="F592" s="68"/>
      <c r="G592" s="68">
        <v>295</v>
      </c>
      <c r="H592" s="68"/>
      <c r="I592" s="69"/>
      <c r="J592" s="68"/>
      <c r="K592" s="68">
        <v>295</v>
      </c>
      <c r="M592" s="66"/>
    </row>
    <row r="593" spans="1:13" x14ac:dyDescent="0.4">
      <c r="A593" s="68">
        <v>295.5</v>
      </c>
      <c r="B593" s="68">
        <f t="shared" si="36"/>
        <v>295.39999999999998</v>
      </c>
      <c r="C593" s="68"/>
      <c r="D593" s="68"/>
      <c r="F593" s="68"/>
      <c r="G593" s="68">
        <v>295.5</v>
      </c>
      <c r="H593" s="68"/>
      <c r="I593" s="69"/>
      <c r="J593" s="68"/>
      <c r="K593" s="68">
        <v>295.5</v>
      </c>
      <c r="M593" s="66"/>
    </row>
    <row r="594" spans="1:13" x14ac:dyDescent="0.4">
      <c r="A594" s="68">
        <v>296</v>
      </c>
      <c r="B594" s="68">
        <f t="shared" si="36"/>
        <v>295.89999999999998</v>
      </c>
      <c r="C594" s="68"/>
      <c r="D594" s="68"/>
      <c r="F594" s="68"/>
      <c r="G594" s="68">
        <v>296</v>
      </c>
      <c r="H594" s="68"/>
      <c r="I594" s="69"/>
      <c r="J594" s="68"/>
      <c r="K594" s="68">
        <v>296</v>
      </c>
      <c r="M594" s="66"/>
    </row>
    <row r="595" spans="1:13" x14ac:dyDescent="0.4">
      <c r="A595" s="68">
        <v>296.5</v>
      </c>
      <c r="B595" s="68">
        <f t="shared" si="36"/>
        <v>296.39999999999998</v>
      </c>
      <c r="C595" s="68"/>
      <c r="D595" s="68"/>
      <c r="F595" s="68"/>
      <c r="G595" s="68">
        <v>296.5</v>
      </c>
      <c r="H595" s="68"/>
      <c r="I595" s="69"/>
      <c r="J595" s="68"/>
      <c r="K595" s="68">
        <v>296.5</v>
      </c>
      <c r="M595" s="66"/>
    </row>
    <row r="596" spans="1:13" x14ac:dyDescent="0.4">
      <c r="A596" s="68">
        <v>297</v>
      </c>
      <c r="B596" s="68">
        <f t="shared" si="36"/>
        <v>296.89999999999998</v>
      </c>
      <c r="C596" s="68"/>
      <c r="D596" s="68"/>
      <c r="F596" s="68"/>
      <c r="G596" s="68">
        <v>297</v>
      </c>
      <c r="H596" s="68"/>
      <c r="I596" s="69"/>
      <c r="J596" s="68"/>
      <c r="K596" s="68">
        <v>297</v>
      </c>
      <c r="M596" s="66"/>
    </row>
    <row r="597" spans="1:13" x14ac:dyDescent="0.4">
      <c r="A597" s="68">
        <v>297.5</v>
      </c>
      <c r="B597" s="68">
        <f t="shared" si="36"/>
        <v>297.39999999999998</v>
      </c>
      <c r="C597" s="68"/>
      <c r="D597" s="68"/>
      <c r="F597" s="68"/>
      <c r="G597" s="68">
        <v>297.5</v>
      </c>
      <c r="H597" s="68"/>
      <c r="I597" s="69"/>
      <c r="J597" s="68"/>
      <c r="K597" s="68">
        <v>297.5</v>
      </c>
      <c r="M597" s="66"/>
    </row>
    <row r="598" spans="1:13" x14ac:dyDescent="0.4">
      <c r="A598" s="68">
        <v>298</v>
      </c>
      <c r="B598" s="68">
        <f t="shared" si="36"/>
        <v>297.89999999999998</v>
      </c>
      <c r="C598" s="68"/>
      <c r="D598" s="68"/>
      <c r="F598" s="68"/>
      <c r="G598" s="68">
        <v>298</v>
      </c>
      <c r="H598" s="68"/>
      <c r="I598" s="69"/>
      <c r="J598" s="68"/>
      <c r="K598" s="68">
        <v>298</v>
      </c>
      <c r="M598" s="66"/>
    </row>
    <row r="599" spans="1:13" x14ac:dyDescent="0.4">
      <c r="A599" s="68">
        <v>298.5</v>
      </c>
      <c r="B599" s="68">
        <f t="shared" si="36"/>
        <v>298.39999999999998</v>
      </c>
      <c r="C599" s="68"/>
      <c r="D599" s="68"/>
      <c r="F599" s="68"/>
      <c r="G599" s="68">
        <v>298.5</v>
      </c>
      <c r="H599" s="68"/>
      <c r="I599" s="69"/>
      <c r="J599" s="68"/>
      <c r="K599" s="68">
        <v>298.5</v>
      </c>
      <c r="M599" s="66"/>
    </row>
    <row r="600" spans="1:13" x14ac:dyDescent="0.4">
      <c r="A600" s="68">
        <v>299</v>
      </c>
      <c r="B600" s="68">
        <f t="shared" si="36"/>
        <v>298.89999999999998</v>
      </c>
      <c r="C600" s="68"/>
      <c r="D600" s="68"/>
      <c r="F600" s="68"/>
      <c r="G600" s="68">
        <v>299</v>
      </c>
      <c r="H600" s="68"/>
      <c r="I600" s="69"/>
      <c r="J600" s="68"/>
      <c r="K600" s="68">
        <v>299</v>
      </c>
      <c r="M600" s="66"/>
    </row>
    <row r="601" spans="1:13" x14ac:dyDescent="0.4">
      <c r="A601" s="68">
        <v>299.5</v>
      </c>
      <c r="B601" s="68">
        <f t="shared" si="36"/>
        <v>299.39999999999998</v>
      </c>
      <c r="C601" s="68"/>
      <c r="D601" s="68"/>
      <c r="F601" s="68"/>
      <c r="G601" s="68">
        <v>299.5</v>
      </c>
      <c r="H601" s="68"/>
      <c r="I601" s="69"/>
      <c r="J601" s="68"/>
      <c r="K601" s="68">
        <v>299.5</v>
      </c>
      <c r="M601" s="66"/>
    </row>
    <row r="602" spans="1:13" x14ac:dyDescent="0.4">
      <c r="A602" s="68">
        <v>300</v>
      </c>
      <c r="B602" s="68">
        <f t="shared" si="36"/>
        <v>299.89999999999998</v>
      </c>
      <c r="C602" s="68">
        <v>8590180</v>
      </c>
      <c r="D602" s="68"/>
      <c r="E602" s="62">
        <f>I602*1000</f>
        <v>5331835.862068966</v>
      </c>
      <c r="F602" s="68"/>
      <c r="G602" s="68">
        <v>300</v>
      </c>
      <c r="H602" s="68"/>
      <c r="I602" s="69">
        <f>(18/29)*(C602)/1000</f>
        <v>5331.835862068966</v>
      </c>
      <c r="J602" s="70">
        <f>((22.41/273)*(A602+273))*((1/29)+((1/18)*I602))</f>
        <v>13934.412150738919</v>
      </c>
      <c r="K602" s="68">
        <v>300</v>
      </c>
      <c r="M602" s="66"/>
    </row>
    <row r="603" spans="1:13" x14ac:dyDescent="0.4">
      <c r="A603" s="68">
        <v>300.5</v>
      </c>
      <c r="B603" s="68">
        <f t="shared" si="36"/>
        <v>300.39999999999998</v>
      </c>
      <c r="C603" s="68"/>
      <c r="D603" s="68"/>
      <c r="F603" s="68"/>
      <c r="G603" s="68">
        <v>300.5</v>
      </c>
      <c r="H603" s="68"/>
      <c r="I603" s="69"/>
      <c r="J603" s="68"/>
      <c r="K603" s="68">
        <v>300.5</v>
      </c>
      <c r="M603" s="66"/>
    </row>
    <row r="604" spans="1:13" x14ac:dyDescent="0.4">
      <c r="A604" s="68">
        <v>301</v>
      </c>
      <c r="B604" s="68">
        <f t="shared" si="36"/>
        <v>300.89999999999998</v>
      </c>
      <c r="C604" s="68"/>
      <c r="D604" s="68"/>
      <c r="F604" s="68"/>
      <c r="G604" s="68">
        <v>301</v>
      </c>
      <c r="H604" s="68"/>
      <c r="I604" s="69"/>
      <c r="J604" s="68"/>
      <c r="K604" s="68">
        <v>301</v>
      </c>
      <c r="M604" s="66"/>
    </row>
    <row r="605" spans="1:13" x14ac:dyDescent="0.4">
      <c r="A605" s="68">
        <v>301.5</v>
      </c>
      <c r="B605" s="68">
        <f t="shared" si="36"/>
        <v>301.39999999999998</v>
      </c>
      <c r="C605" s="68"/>
      <c r="D605" s="68"/>
      <c r="F605" s="68"/>
      <c r="G605" s="68">
        <v>301.5</v>
      </c>
      <c r="H605" s="68"/>
      <c r="I605" s="69"/>
      <c r="J605" s="68"/>
      <c r="K605" s="68">
        <v>301.5</v>
      </c>
      <c r="M605" s="66"/>
    </row>
    <row r="606" spans="1:13" x14ac:dyDescent="0.4">
      <c r="A606" s="68">
        <v>302</v>
      </c>
      <c r="B606" s="68">
        <f t="shared" si="36"/>
        <v>301.89999999999998</v>
      </c>
      <c r="C606" s="68"/>
      <c r="D606" s="68"/>
      <c r="F606" s="68"/>
      <c r="G606" s="68">
        <v>302</v>
      </c>
      <c r="H606" s="68"/>
      <c r="I606" s="69"/>
      <c r="J606" s="68"/>
      <c r="K606" s="68">
        <v>302</v>
      </c>
      <c r="M606" s="66"/>
    </row>
    <row r="607" spans="1:13" x14ac:dyDescent="0.4">
      <c r="A607" s="68">
        <v>302.5</v>
      </c>
      <c r="B607" s="68">
        <f t="shared" si="36"/>
        <v>302.39999999999998</v>
      </c>
      <c r="C607" s="68"/>
      <c r="D607" s="68"/>
      <c r="F607" s="68"/>
      <c r="G607" s="68">
        <v>302.5</v>
      </c>
      <c r="H607" s="68"/>
      <c r="I607" s="69"/>
      <c r="J607" s="68"/>
      <c r="K607" s="68">
        <v>302.5</v>
      </c>
      <c r="M607" s="66"/>
    </row>
    <row r="608" spans="1:13" x14ac:dyDescent="0.4">
      <c r="A608" s="68">
        <v>303</v>
      </c>
      <c r="B608" s="68">
        <f t="shared" si="36"/>
        <v>302.89999999999998</v>
      </c>
      <c r="C608" s="68"/>
      <c r="D608" s="68"/>
      <c r="F608" s="68"/>
      <c r="G608" s="68">
        <v>303</v>
      </c>
      <c r="H608" s="68"/>
      <c r="I608" s="69"/>
      <c r="J608" s="68"/>
      <c r="K608" s="68">
        <v>303</v>
      </c>
      <c r="M608" s="66"/>
    </row>
    <row r="609" spans="1:13" x14ac:dyDescent="0.4">
      <c r="A609" s="68">
        <v>303.5</v>
      </c>
      <c r="B609" s="68">
        <f t="shared" si="36"/>
        <v>303.39999999999998</v>
      </c>
      <c r="C609" s="68"/>
      <c r="D609" s="68"/>
      <c r="F609" s="68"/>
      <c r="G609" s="68">
        <v>303.5</v>
      </c>
      <c r="H609" s="68"/>
      <c r="I609" s="69"/>
      <c r="J609" s="68"/>
      <c r="K609" s="68">
        <v>303.5</v>
      </c>
      <c r="M609" s="66"/>
    </row>
    <row r="610" spans="1:13" x14ac:dyDescent="0.4">
      <c r="A610" s="68">
        <v>304</v>
      </c>
      <c r="B610" s="68">
        <f t="shared" si="36"/>
        <v>303.89999999999998</v>
      </c>
      <c r="C610" s="68"/>
      <c r="D610" s="68"/>
      <c r="F610" s="68"/>
      <c r="G610" s="68">
        <v>304</v>
      </c>
      <c r="H610" s="68"/>
      <c r="I610" s="69"/>
      <c r="J610" s="68"/>
      <c r="K610" s="68">
        <v>304</v>
      </c>
      <c r="M610" s="66"/>
    </row>
    <row r="611" spans="1:13" x14ac:dyDescent="0.4">
      <c r="A611" s="68">
        <v>304.5</v>
      </c>
      <c r="B611" s="68">
        <f t="shared" si="36"/>
        <v>304.39999999999998</v>
      </c>
      <c r="C611" s="68"/>
      <c r="D611" s="68"/>
      <c r="F611" s="68"/>
      <c r="G611" s="68">
        <v>304.5</v>
      </c>
      <c r="H611" s="68"/>
      <c r="I611" s="69"/>
      <c r="J611" s="68"/>
      <c r="K611" s="68">
        <v>304.5</v>
      </c>
      <c r="M611" s="66"/>
    </row>
    <row r="612" spans="1:13" x14ac:dyDescent="0.4">
      <c r="A612" s="68">
        <v>305</v>
      </c>
      <c r="B612" s="68">
        <f t="shared" si="36"/>
        <v>304.89999999999998</v>
      </c>
      <c r="C612" s="68"/>
      <c r="D612" s="68"/>
      <c r="F612" s="68"/>
      <c r="G612" s="68">
        <v>305</v>
      </c>
      <c r="H612" s="68"/>
      <c r="I612" s="69"/>
      <c r="J612" s="68"/>
      <c r="K612" s="68">
        <v>305</v>
      </c>
      <c r="M612" s="66"/>
    </row>
    <row r="613" spans="1:13" x14ac:dyDescent="0.4">
      <c r="A613" s="68">
        <v>305.5</v>
      </c>
      <c r="B613" s="68">
        <f t="shared" si="36"/>
        <v>305.39999999999998</v>
      </c>
      <c r="C613" s="68"/>
      <c r="D613" s="68"/>
      <c r="F613" s="68"/>
      <c r="G613" s="68">
        <v>305.5</v>
      </c>
      <c r="H613" s="68"/>
      <c r="I613" s="69"/>
      <c r="J613" s="68"/>
      <c r="K613" s="68">
        <v>305.5</v>
      </c>
      <c r="M613" s="66"/>
    </row>
    <row r="614" spans="1:13" x14ac:dyDescent="0.4">
      <c r="A614" s="68">
        <v>306</v>
      </c>
      <c r="B614" s="68">
        <f t="shared" si="36"/>
        <v>305.89999999999998</v>
      </c>
      <c r="C614" s="68"/>
      <c r="D614" s="68"/>
      <c r="F614" s="68"/>
      <c r="G614" s="68">
        <v>306</v>
      </c>
      <c r="H614" s="68"/>
      <c r="I614" s="69"/>
      <c r="J614" s="68"/>
      <c r="K614" s="68">
        <v>306</v>
      </c>
      <c r="M614" s="66"/>
    </row>
    <row r="615" spans="1:13" x14ac:dyDescent="0.4">
      <c r="A615" s="68">
        <v>306.5</v>
      </c>
      <c r="B615" s="68">
        <f t="shared" si="36"/>
        <v>306.39999999999998</v>
      </c>
      <c r="C615" s="68"/>
      <c r="D615" s="68"/>
      <c r="F615" s="68"/>
      <c r="G615" s="68">
        <v>306.5</v>
      </c>
      <c r="H615" s="68"/>
      <c r="I615" s="69"/>
      <c r="J615" s="68"/>
      <c r="K615" s="68">
        <v>306.5</v>
      </c>
      <c r="M615" s="66"/>
    </row>
    <row r="616" spans="1:13" x14ac:dyDescent="0.4">
      <c r="A616" s="68">
        <v>307</v>
      </c>
      <c r="B616" s="68">
        <f t="shared" si="36"/>
        <v>306.89999999999998</v>
      </c>
      <c r="C616" s="68"/>
      <c r="D616" s="68"/>
      <c r="F616" s="68"/>
      <c r="G616" s="68">
        <v>307</v>
      </c>
      <c r="H616" s="68"/>
      <c r="I616" s="69"/>
      <c r="J616" s="68"/>
      <c r="K616" s="68">
        <v>307</v>
      </c>
      <c r="M616" s="66"/>
    </row>
    <row r="617" spans="1:13" x14ac:dyDescent="0.4">
      <c r="A617" s="68">
        <v>307.5</v>
      </c>
      <c r="B617" s="68">
        <f t="shared" si="36"/>
        <v>307.39999999999998</v>
      </c>
      <c r="C617" s="68"/>
      <c r="D617" s="68"/>
      <c r="F617" s="68"/>
      <c r="G617" s="68">
        <v>307.5</v>
      </c>
      <c r="H617" s="68"/>
      <c r="I617" s="69"/>
      <c r="J617" s="68"/>
      <c r="K617" s="68">
        <v>307.5</v>
      </c>
      <c r="M617" s="66"/>
    </row>
    <row r="618" spans="1:13" x14ac:dyDescent="0.4">
      <c r="A618" s="68">
        <v>308</v>
      </c>
      <c r="B618" s="68">
        <f t="shared" si="36"/>
        <v>307.89999999999998</v>
      </c>
      <c r="C618" s="68"/>
      <c r="D618" s="68"/>
      <c r="F618" s="68"/>
      <c r="G618" s="68">
        <v>308</v>
      </c>
      <c r="H618" s="68"/>
      <c r="I618" s="69"/>
      <c r="J618" s="68"/>
      <c r="K618" s="68">
        <v>308</v>
      </c>
      <c r="M618" s="66"/>
    </row>
    <row r="619" spans="1:13" x14ac:dyDescent="0.4">
      <c r="A619" s="68">
        <v>308.5</v>
      </c>
      <c r="B619" s="68">
        <f t="shared" si="36"/>
        <v>308.39999999999998</v>
      </c>
      <c r="C619" s="68"/>
      <c r="D619" s="68"/>
      <c r="F619" s="68"/>
      <c r="G619" s="68">
        <v>308.5</v>
      </c>
      <c r="H619" s="68"/>
      <c r="I619" s="69"/>
      <c r="J619" s="68"/>
      <c r="K619" s="68">
        <v>308.5</v>
      </c>
      <c r="M619" s="66"/>
    </row>
    <row r="620" spans="1:13" x14ac:dyDescent="0.4">
      <c r="A620" s="68">
        <v>309</v>
      </c>
      <c r="B620" s="68">
        <f t="shared" si="36"/>
        <v>308.89999999999998</v>
      </c>
      <c r="C620" s="68"/>
      <c r="D620" s="68"/>
      <c r="F620" s="68"/>
      <c r="G620" s="68">
        <v>309</v>
      </c>
      <c r="H620" s="68"/>
      <c r="I620" s="69"/>
      <c r="J620" s="68"/>
      <c r="K620" s="68">
        <v>309</v>
      </c>
      <c r="M620" s="66"/>
    </row>
    <row r="621" spans="1:13" x14ac:dyDescent="0.4">
      <c r="A621" s="68">
        <v>309.5</v>
      </c>
      <c r="B621" s="68">
        <f t="shared" si="36"/>
        <v>309.39999999999998</v>
      </c>
      <c r="C621" s="68"/>
      <c r="D621" s="68"/>
      <c r="F621" s="68"/>
      <c r="G621" s="68">
        <v>309.5</v>
      </c>
      <c r="H621" s="68"/>
      <c r="I621" s="69"/>
      <c r="J621" s="68"/>
      <c r="K621" s="68">
        <v>309.5</v>
      </c>
      <c r="M621" s="66"/>
    </row>
    <row r="622" spans="1:13" x14ac:dyDescent="0.4">
      <c r="A622" s="68">
        <v>310</v>
      </c>
      <c r="B622" s="68">
        <f t="shared" si="36"/>
        <v>309.89999999999998</v>
      </c>
      <c r="C622" s="68"/>
      <c r="D622" s="68"/>
      <c r="F622" s="68"/>
      <c r="G622" s="68">
        <v>310</v>
      </c>
      <c r="H622" s="68"/>
      <c r="I622" s="69"/>
      <c r="J622" s="68"/>
      <c r="K622" s="68">
        <v>310</v>
      </c>
      <c r="M622" s="66"/>
    </row>
    <row r="623" spans="1:13" x14ac:dyDescent="0.4">
      <c r="A623" s="68">
        <v>310.5</v>
      </c>
      <c r="B623" s="68">
        <f t="shared" si="36"/>
        <v>310.39999999999998</v>
      </c>
      <c r="C623" s="68"/>
      <c r="D623" s="68"/>
      <c r="F623" s="68"/>
      <c r="G623" s="68">
        <v>310.5</v>
      </c>
      <c r="H623" s="68"/>
      <c r="I623" s="69"/>
      <c r="J623" s="68"/>
      <c r="K623" s="68">
        <v>310.5</v>
      </c>
      <c r="M623" s="66"/>
    </row>
    <row r="624" spans="1:13" x14ac:dyDescent="0.4">
      <c r="A624" s="68">
        <v>311</v>
      </c>
      <c r="B624" s="68">
        <f t="shared" si="36"/>
        <v>310.89999999999998</v>
      </c>
      <c r="C624" s="68"/>
      <c r="D624" s="68"/>
      <c r="F624" s="68"/>
      <c r="G624" s="68">
        <v>311</v>
      </c>
      <c r="H624" s="68"/>
      <c r="I624" s="69"/>
      <c r="J624" s="68"/>
      <c r="K624" s="68">
        <v>311</v>
      </c>
      <c r="M624" s="66"/>
    </row>
    <row r="625" spans="1:13" x14ac:dyDescent="0.4">
      <c r="A625" s="68">
        <v>311.5</v>
      </c>
      <c r="B625" s="68">
        <f t="shared" si="36"/>
        <v>311.39999999999998</v>
      </c>
      <c r="C625" s="68"/>
      <c r="D625" s="68"/>
      <c r="F625" s="68"/>
      <c r="G625" s="68">
        <v>311.5</v>
      </c>
      <c r="H625" s="68"/>
      <c r="I625" s="69"/>
      <c r="J625" s="68"/>
      <c r="K625" s="68">
        <v>311.5</v>
      </c>
      <c r="M625" s="66"/>
    </row>
    <row r="626" spans="1:13" x14ac:dyDescent="0.4">
      <c r="A626" s="68">
        <v>312</v>
      </c>
      <c r="B626" s="68">
        <f t="shared" si="36"/>
        <v>311.89999999999998</v>
      </c>
      <c r="C626" s="68"/>
      <c r="D626" s="68"/>
      <c r="F626" s="68"/>
      <c r="G626" s="68">
        <v>312</v>
      </c>
      <c r="H626" s="68"/>
      <c r="I626" s="69"/>
      <c r="J626" s="68"/>
      <c r="K626" s="68">
        <v>312</v>
      </c>
      <c r="M626" s="66"/>
    </row>
    <row r="627" spans="1:13" x14ac:dyDescent="0.4">
      <c r="A627" s="68">
        <v>312.5</v>
      </c>
      <c r="B627" s="68">
        <f t="shared" si="36"/>
        <v>312.39999999999998</v>
      </c>
      <c r="C627" s="68"/>
      <c r="D627" s="68"/>
      <c r="F627" s="68"/>
      <c r="G627" s="68">
        <v>312.5</v>
      </c>
      <c r="H627" s="68"/>
      <c r="I627" s="69"/>
      <c r="J627" s="68"/>
      <c r="K627" s="68">
        <v>312.5</v>
      </c>
      <c r="M627" s="66"/>
    </row>
    <row r="628" spans="1:13" x14ac:dyDescent="0.4">
      <c r="A628" s="68">
        <v>313</v>
      </c>
      <c r="B628" s="68">
        <f t="shared" si="36"/>
        <v>312.89999999999998</v>
      </c>
      <c r="C628" s="68"/>
      <c r="D628" s="68"/>
      <c r="F628" s="68"/>
      <c r="G628" s="68">
        <v>313</v>
      </c>
      <c r="H628" s="68"/>
      <c r="I628" s="69"/>
      <c r="J628" s="68"/>
      <c r="K628" s="68">
        <v>313</v>
      </c>
      <c r="M628" s="66"/>
    </row>
    <row r="629" spans="1:13" x14ac:dyDescent="0.4">
      <c r="A629" s="68">
        <v>313.5</v>
      </c>
      <c r="B629" s="68">
        <f t="shared" si="36"/>
        <v>313.39999999999998</v>
      </c>
      <c r="C629" s="68"/>
      <c r="D629" s="68"/>
      <c r="F629" s="68"/>
      <c r="G629" s="68">
        <v>313.5</v>
      </c>
      <c r="H629" s="68"/>
      <c r="I629" s="69"/>
      <c r="J629" s="68"/>
      <c r="K629" s="68">
        <v>313.5</v>
      </c>
      <c r="M629" s="66"/>
    </row>
    <row r="630" spans="1:13" x14ac:dyDescent="0.4">
      <c r="A630" s="68">
        <v>314</v>
      </c>
      <c r="B630" s="68">
        <f t="shared" si="36"/>
        <v>313.89999999999998</v>
      </c>
      <c r="C630" s="68"/>
      <c r="D630" s="68"/>
      <c r="F630" s="68"/>
      <c r="G630" s="68">
        <v>314</v>
      </c>
      <c r="H630" s="68"/>
      <c r="I630" s="69"/>
      <c r="J630" s="68"/>
      <c r="K630" s="68">
        <v>314</v>
      </c>
      <c r="M630" s="66"/>
    </row>
    <row r="631" spans="1:13" x14ac:dyDescent="0.4">
      <c r="A631" s="68">
        <v>314.5</v>
      </c>
      <c r="B631" s="68">
        <f t="shared" si="36"/>
        <v>314.39999999999998</v>
      </c>
      <c r="C631" s="68"/>
      <c r="D631" s="68"/>
      <c r="F631" s="68"/>
      <c r="G631" s="68">
        <v>314.5</v>
      </c>
      <c r="H631" s="68"/>
      <c r="I631" s="69"/>
      <c r="J631" s="68"/>
      <c r="K631" s="68">
        <v>314.5</v>
      </c>
      <c r="M631" s="66"/>
    </row>
    <row r="632" spans="1:13" x14ac:dyDescent="0.4">
      <c r="A632" s="68">
        <v>315</v>
      </c>
      <c r="B632" s="68">
        <f t="shared" si="36"/>
        <v>314.89999999999998</v>
      </c>
      <c r="C632" s="68"/>
      <c r="D632" s="68"/>
      <c r="F632" s="68"/>
      <c r="G632" s="68">
        <v>315</v>
      </c>
      <c r="H632" s="68"/>
      <c r="I632" s="69"/>
      <c r="J632" s="68"/>
      <c r="K632" s="68">
        <v>315</v>
      </c>
      <c r="M632" s="66"/>
    </row>
    <row r="633" spans="1:13" x14ac:dyDescent="0.4">
      <c r="A633" s="68">
        <v>315.5</v>
      </c>
      <c r="B633" s="68">
        <f t="shared" si="36"/>
        <v>315.39999999999998</v>
      </c>
      <c r="C633" s="68"/>
      <c r="D633" s="68"/>
      <c r="F633" s="68"/>
      <c r="G633" s="68">
        <v>315.5</v>
      </c>
      <c r="H633" s="68"/>
      <c r="I633" s="69"/>
      <c r="J633" s="68"/>
      <c r="K633" s="68">
        <v>315.5</v>
      </c>
      <c r="M633" s="66"/>
    </row>
    <row r="634" spans="1:13" x14ac:dyDescent="0.4">
      <c r="A634" s="68">
        <v>316</v>
      </c>
      <c r="B634" s="68">
        <f t="shared" si="36"/>
        <v>315.89999999999998</v>
      </c>
      <c r="C634" s="68"/>
      <c r="D634" s="68"/>
      <c r="F634" s="68"/>
      <c r="G634" s="68">
        <v>316</v>
      </c>
      <c r="H634" s="68"/>
      <c r="I634" s="69"/>
      <c r="J634" s="68"/>
      <c r="K634" s="68">
        <v>316</v>
      </c>
      <c r="M634" s="66"/>
    </row>
    <row r="635" spans="1:13" x14ac:dyDescent="0.4">
      <c r="A635" s="68">
        <v>316.5</v>
      </c>
      <c r="B635" s="68">
        <f t="shared" si="36"/>
        <v>316.39999999999998</v>
      </c>
      <c r="C635" s="68"/>
      <c r="D635" s="68"/>
      <c r="F635" s="68"/>
      <c r="G635" s="68">
        <v>316.5</v>
      </c>
      <c r="H635" s="68"/>
      <c r="I635" s="69"/>
      <c r="J635" s="68"/>
      <c r="K635" s="68">
        <v>316.5</v>
      </c>
      <c r="M635" s="66"/>
    </row>
    <row r="636" spans="1:13" x14ac:dyDescent="0.4">
      <c r="A636" s="68">
        <v>317</v>
      </c>
      <c r="B636" s="68">
        <f t="shared" si="36"/>
        <v>316.89999999999998</v>
      </c>
      <c r="C636" s="68"/>
      <c r="D636" s="68"/>
      <c r="F636" s="68"/>
      <c r="G636" s="68">
        <v>317</v>
      </c>
      <c r="H636" s="68"/>
      <c r="I636" s="69"/>
      <c r="J636" s="68"/>
      <c r="K636" s="68">
        <v>317</v>
      </c>
      <c r="M636" s="66"/>
    </row>
    <row r="637" spans="1:13" x14ac:dyDescent="0.4">
      <c r="A637" s="68">
        <v>317.5</v>
      </c>
      <c r="B637" s="68">
        <f t="shared" si="36"/>
        <v>317.39999999999998</v>
      </c>
      <c r="C637" s="68"/>
      <c r="D637" s="68"/>
      <c r="F637" s="68"/>
      <c r="G637" s="68">
        <v>317.5</v>
      </c>
      <c r="H637" s="68"/>
      <c r="I637" s="69"/>
      <c r="J637" s="68"/>
      <c r="K637" s="68">
        <v>317.5</v>
      </c>
      <c r="M637" s="66"/>
    </row>
    <row r="638" spans="1:13" x14ac:dyDescent="0.4">
      <c r="A638" s="68">
        <v>318</v>
      </c>
      <c r="B638" s="68">
        <f t="shared" si="36"/>
        <v>317.89999999999998</v>
      </c>
      <c r="C638" s="68"/>
      <c r="D638" s="68"/>
      <c r="F638" s="68"/>
      <c r="G638" s="68">
        <v>318</v>
      </c>
      <c r="H638" s="68"/>
      <c r="I638" s="69"/>
      <c r="J638" s="68"/>
      <c r="K638" s="68">
        <v>318</v>
      </c>
      <c r="M638" s="66"/>
    </row>
    <row r="639" spans="1:13" x14ac:dyDescent="0.4">
      <c r="A639" s="68">
        <v>318.5</v>
      </c>
      <c r="B639" s="68">
        <f t="shared" si="36"/>
        <v>318.39999999999998</v>
      </c>
      <c r="C639" s="68"/>
      <c r="D639" s="68"/>
      <c r="F639" s="68"/>
      <c r="G639" s="68">
        <v>318.5</v>
      </c>
      <c r="H639" s="68"/>
      <c r="I639" s="69"/>
      <c r="J639" s="68"/>
      <c r="K639" s="68">
        <v>318.5</v>
      </c>
      <c r="M639" s="66"/>
    </row>
    <row r="640" spans="1:13" x14ac:dyDescent="0.4">
      <c r="A640" s="68">
        <v>319</v>
      </c>
      <c r="B640" s="68">
        <f t="shared" si="36"/>
        <v>318.89999999999998</v>
      </c>
      <c r="C640" s="68"/>
      <c r="D640" s="68"/>
      <c r="F640" s="68"/>
      <c r="G640" s="68">
        <v>319</v>
      </c>
      <c r="H640" s="68"/>
      <c r="I640" s="69"/>
      <c r="J640" s="68"/>
      <c r="K640" s="68">
        <v>319</v>
      </c>
      <c r="M640" s="66"/>
    </row>
    <row r="641" spans="1:13" x14ac:dyDescent="0.4">
      <c r="A641" s="68">
        <v>319.5</v>
      </c>
      <c r="B641" s="68">
        <f t="shared" si="36"/>
        <v>319.39999999999998</v>
      </c>
      <c r="C641" s="68"/>
      <c r="D641" s="68"/>
      <c r="F641" s="68"/>
      <c r="G641" s="68">
        <v>319.5</v>
      </c>
      <c r="H641" s="68"/>
      <c r="I641" s="69"/>
      <c r="J641" s="68"/>
      <c r="K641" s="68">
        <v>319.5</v>
      </c>
      <c r="M641" s="66"/>
    </row>
    <row r="642" spans="1:13" x14ac:dyDescent="0.4">
      <c r="A642" s="68">
        <v>320</v>
      </c>
      <c r="B642" s="68">
        <f t="shared" ref="B642:B705" si="37">A642-0.1</f>
        <v>319.89999999999998</v>
      </c>
      <c r="C642" s="68">
        <v>11290400</v>
      </c>
      <c r="D642" s="68"/>
      <c r="E642" s="62">
        <f>I642*1000</f>
        <v>7007834.4827586208</v>
      </c>
      <c r="F642" s="68"/>
      <c r="G642" s="68">
        <v>320</v>
      </c>
      <c r="H642" s="68"/>
      <c r="I642" s="69">
        <f>(18/29)*(C642)/1000</f>
        <v>7007.8344827586207</v>
      </c>
      <c r="J642" s="70">
        <f>((22.41/273)*(A642+273))*((1/29)+((1/18)*I642))</f>
        <v>18953.250281924971</v>
      </c>
      <c r="K642" s="68">
        <v>320</v>
      </c>
      <c r="M642" s="66"/>
    </row>
    <row r="643" spans="1:13" x14ac:dyDescent="0.4">
      <c r="A643" s="68">
        <v>320.5</v>
      </c>
      <c r="B643" s="68">
        <f t="shared" si="37"/>
        <v>320.39999999999998</v>
      </c>
      <c r="C643" s="68"/>
      <c r="D643" s="68"/>
      <c r="F643" s="68"/>
      <c r="G643" s="68">
        <v>320.5</v>
      </c>
      <c r="H643" s="68"/>
      <c r="I643" s="69"/>
      <c r="J643" s="68"/>
      <c r="K643" s="68">
        <v>320.5</v>
      </c>
      <c r="M643" s="66"/>
    </row>
    <row r="644" spans="1:13" x14ac:dyDescent="0.4">
      <c r="A644" s="68">
        <v>321</v>
      </c>
      <c r="B644" s="68">
        <f t="shared" si="37"/>
        <v>320.89999999999998</v>
      </c>
      <c r="C644" s="68"/>
      <c r="D644" s="68"/>
      <c r="F644" s="68"/>
      <c r="G644" s="68">
        <v>321</v>
      </c>
      <c r="H644" s="68"/>
      <c r="I644" s="69"/>
      <c r="J644" s="68"/>
      <c r="K644" s="68">
        <v>321</v>
      </c>
      <c r="M644" s="66"/>
    </row>
    <row r="645" spans="1:13" x14ac:dyDescent="0.4">
      <c r="A645" s="68">
        <v>321.5</v>
      </c>
      <c r="B645" s="68">
        <f t="shared" si="37"/>
        <v>321.39999999999998</v>
      </c>
      <c r="C645" s="68"/>
      <c r="D645" s="68"/>
      <c r="F645" s="68"/>
      <c r="G645" s="68">
        <v>321.5</v>
      </c>
      <c r="H645" s="68"/>
      <c r="I645" s="69"/>
      <c r="J645" s="68"/>
      <c r="K645" s="68">
        <v>321.5</v>
      </c>
      <c r="M645" s="66"/>
    </row>
    <row r="646" spans="1:13" x14ac:dyDescent="0.4">
      <c r="A646" s="68">
        <v>322</v>
      </c>
      <c r="B646" s="68">
        <f t="shared" si="37"/>
        <v>321.89999999999998</v>
      </c>
      <c r="C646" s="68"/>
      <c r="D646" s="68"/>
      <c r="F646" s="68"/>
      <c r="G646" s="68">
        <v>322</v>
      </c>
      <c r="H646" s="68"/>
      <c r="I646" s="69"/>
      <c r="J646" s="68"/>
      <c r="K646" s="68">
        <v>322</v>
      </c>
      <c r="M646" s="66"/>
    </row>
    <row r="647" spans="1:13" x14ac:dyDescent="0.4">
      <c r="A647" s="68">
        <v>322.5</v>
      </c>
      <c r="B647" s="68">
        <f t="shared" si="37"/>
        <v>322.39999999999998</v>
      </c>
      <c r="C647" s="68"/>
      <c r="D647" s="68"/>
      <c r="F647" s="68"/>
      <c r="G647" s="68">
        <v>322.5</v>
      </c>
      <c r="H647" s="68"/>
      <c r="I647" s="69"/>
      <c r="J647" s="68"/>
      <c r="K647" s="68">
        <v>322.5</v>
      </c>
      <c r="M647" s="66"/>
    </row>
    <row r="648" spans="1:13" x14ac:dyDescent="0.4">
      <c r="A648" s="68">
        <v>323</v>
      </c>
      <c r="B648" s="68">
        <f t="shared" si="37"/>
        <v>322.89999999999998</v>
      </c>
      <c r="C648" s="68"/>
      <c r="D648" s="68"/>
      <c r="F648" s="68"/>
      <c r="G648" s="68">
        <v>323</v>
      </c>
      <c r="H648" s="68"/>
      <c r="I648" s="69"/>
      <c r="J648" s="68"/>
      <c r="K648" s="68">
        <v>323</v>
      </c>
      <c r="M648" s="66"/>
    </row>
    <row r="649" spans="1:13" x14ac:dyDescent="0.4">
      <c r="A649" s="68">
        <v>323.5</v>
      </c>
      <c r="B649" s="68">
        <f t="shared" si="37"/>
        <v>323.39999999999998</v>
      </c>
      <c r="C649" s="68"/>
      <c r="D649" s="68"/>
      <c r="F649" s="68"/>
      <c r="G649" s="68">
        <v>323.5</v>
      </c>
      <c r="H649" s="68"/>
      <c r="I649" s="69"/>
      <c r="J649" s="68"/>
      <c r="K649" s="68">
        <v>323.5</v>
      </c>
      <c r="M649" s="66"/>
    </row>
    <row r="650" spans="1:13" x14ac:dyDescent="0.4">
      <c r="A650" s="68">
        <v>324</v>
      </c>
      <c r="B650" s="68">
        <f t="shared" si="37"/>
        <v>323.89999999999998</v>
      </c>
      <c r="C650" s="68"/>
      <c r="D650" s="68"/>
      <c r="F650" s="68"/>
      <c r="G650" s="68">
        <v>324</v>
      </c>
      <c r="H650" s="68"/>
      <c r="I650" s="69"/>
      <c r="J650" s="68"/>
      <c r="K650" s="68">
        <v>324</v>
      </c>
      <c r="M650" s="66"/>
    </row>
    <row r="651" spans="1:13" x14ac:dyDescent="0.4">
      <c r="A651" s="68">
        <v>324.5</v>
      </c>
      <c r="B651" s="68">
        <f t="shared" si="37"/>
        <v>324.39999999999998</v>
      </c>
      <c r="C651" s="68"/>
      <c r="D651" s="68"/>
      <c r="F651" s="68"/>
      <c r="G651" s="68">
        <v>324.5</v>
      </c>
      <c r="H651" s="68"/>
      <c r="I651" s="69"/>
      <c r="J651" s="68"/>
      <c r="K651" s="68">
        <v>324.5</v>
      </c>
      <c r="M651" s="66"/>
    </row>
    <row r="652" spans="1:13" x14ac:dyDescent="0.4">
      <c r="A652" s="68">
        <v>325</v>
      </c>
      <c r="B652" s="68">
        <f t="shared" si="37"/>
        <v>324.89999999999998</v>
      </c>
      <c r="C652" s="68"/>
      <c r="D652" s="68"/>
      <c r="F652" s="68"/>
      <c r="G652" s="68">
        <v>325</v>
      </c>
      <c r="H652" s="68"/>
      <c r="I652" s="69"/>
      <c r="J652" s="68"/>
      <c r="K652" s="68">
        <v>325</v>
      </c>
      <c r="M652" s="66"/>
    </row>
    <row r="653" spans="1:13" x14ac:dyDescent="0.4">
      <c r="A653" s="68">
        <v>325.5</v>
      </c>
      <c r="B653" s="68">
        <f t="shared" si="37"/>
        <v>325.39999999999998</v>
      </c>
      <c r="C653" s="68"/>
      <c r="D653" s="68"/>
      <c r="F653" s="68"/>
      <c r="G653" s="68">
        <v>325.5</v>
      </c>
      <c r="H653" s="68"/>
      <c r="I653" s="69"/>
      <c r="J653" s="68"/>
      <c r="K653" s="68">
        <v>325.5</v>
      </c>
      <c r="M653" s="66"/>
    </row>
    <row r="654" spans="1:13" x14ac:dyDescent="0.4">
      <c r="A654" s="68">
        <v>326</v>
      </c>
      <c r="B654" s="68">
        <f t="shared" si="37"/>
        <v>325.89999999999998</v>
      </c>
      <c r="C654" s="68"/>
      <c r="D654" s="68"/>
      <c r="F654" s="68"/>
      <c r="G654" s="68">
        <v>326</v>
      </c>
      <c r="H654" s="68"/>
      <c r="I654" s="69"/>
      <c r="J654" s="68"/>
      <c r="K654" s="68">
        <v>326</v>
      </c>
      <c r="M654" s="66"/>
    </row>
    <row r="655" spans="1:13" x14ac:dyDescent="0.4">
      <c r="A655" s="68">
        <v>326.5</v>
      </c>
      <c r="B655" s="68">
        <f t="shared" si="37"/>
        <v>326.39999999999998</v>
      </c>
      <c r="C655" s="68"/>
      <c r="D655" s="68"/>
      <c r="F655" s="68"/>
      <c r="G655" s="68">
        <v>326.5</v>
      </c>
      <c r="H655" s="68"/>
      <c r="I655" s="69"/>
      <c r="J655" s="68"/>
      <c r="K655" s="68">
        <v>326.5</v>
      </c>
      <c r="M655" s="66"/>
    </row>
    <row r="656" spans="1:13" x14ac:dyDescent="0.4">
      <c r="A656" s="68">
        <v>327</v>
      </c>
      <c r="B656" s="68">
        <f t="shared" si="37"/>
        <v>326.89999999999998</v>
      </c>
      <c r="C656" s="68"/>
      <c r="D656" s="68"/>
      <c r="F656" s="68"/>
      <c r="G656" s="68">
        <v>327</v>
      </c>
      <c r="H656" s="68"/>
      <c r="I656" s="69"/>
      <c r="J656" s="68"/>
      <c r="K656" s="68">
        <v>327</v>
      </c>
      <c r="M656" s="66"/>
    </row>
    <row r="657" spans="1:13" x14ac:dyDescent="0.4">
      <c r="A657" s="68">
        <v>327.5</v>
      </c>
      <c r="B657" s="68">
        <f t="shared" si="37"/>
        <v>327.39999999999998</v>
      </c>
      <c r="C657" s="68"/>
      <c r="D657" s="68"/>
      <c r="F657" s="68"/>
      <c r="G657" s="68">
        <v>327.5</v>
      </c>
      <c r="H657" s="68"/>
      <c r="I657" s="69"/>
      <c r="J657" s="68"/>
      <c r="K657" s="68">
        <v>327.5</v>
      </c>
      <c r="M657" s="66"/>
    </row>
    <row r="658" spans="1:13" x14ac:dyDescent="0.4">
      <c r="A658" s="68">
        <v>328</v>
      </c>
      <c r="B658" s="68">
        <f t="shared" si="37"/>
        <v>327.9</v>
      </c>
      <c r="C658" s="68"/>
      <c r="D658" s="68"/>
      <c r="F658" s="68"/>
      <c r="G658" s="68">
        <v>328</v>
      </c>
      <c r="H658" s="68"/>
      <c r="I658" s="69"/>
      <c r="J658" s="68"/>
      <c r="K658" s="68">
        <v>328</v>
      </c>
      <c r="M658" s="66"/>
    </row>
    <row r="659" spans="1:13" x14ac:dyDescent="0.4">
      <c r="A659" s="68">
        <v>328.5</v>
      </c>
      <c r="B659" s="68">
        <f t="shared" si="37"/>
        <v>328.4</v>
      </c>
      <c r="C659" s="68"/>
      <c r="D659" s="68"/>
      <c r="F659" s="68"/>
      <c r="G659" s="68">
        <v>328.5</v>
      </c>
      <c r="H659" s="68"/>
      <c r="I659" s="69"/>
      <c r="J659" s="68"/>
      <c r="K659" s="68">
        <v>328.5</v>
      </c>
      <c r="M659" s="66"/>
    </row>
    <row r="660" spans="1:13" x14ac:dyDescent="0.4">
      <c r="A660" s="68">
        <v>329</v>
      </c>
      <c r="B660" s="68">
        <f t="shared" si="37"/>
        <v>328.9</v>
      </c>
      <c r="C660" s="68"/>
      <c r="D660" s="68"/>
      <c r="F660" s="68"/>
      <c r="G660" s="68">
        <v>329</v>
      </c>
      <c r="H660" s="68"/>
      <c r="I660" s="69"/>
      <c r="J660" s="68"/>
      <c r="K660" s="68">
        <v>329</v>
      </c>
      <c r="M660" s="66"/>
    </row>
    <row r="661" spans="1:13" x14ac:dyDescent="0.4">
      <c r="A661" s="68">
        <v>329.5</v>
      </c>
      <c r="B661" s="68">
        <f t="shared" si="37"/>
        <v>329.4</v>
      </c>
      <c r="C661" s="68"/>
      <c r="D661" s="68"/>
      <c r="F661" s="68"/>
      <c r="G661" s="68">
        <v>329.5</v>
      </c>
      <c r="H661" s="68"/>
      <c r="I661" s="69"/>
      <c r="J661" s="68"/>
      <c r="K661" s="68">
        <v>329.5</v>
      </c>
      <c r="M661" s="66"/>
    </row>
    <row r="662" spans="1:13" x14ac:dyDescent="0.4">
      <c r="A662" s="68">
        <v>330</v>
      </c>
      <c r="B662" s="68">
        <f t="shared" si="37"/>
        <v>329.9</v>
      </c>
      <c r="C662" s="68"/>
      <c r="D662" s="68"/>
      <c r="F662" s="68"/>
      <c r="G662" s="68">
        <v>330</v>
      </c>
      <c r="H662" s="68"/>
      <c r="I662" s="69"/>
      <c r="J662" s="68"/>
      <c r="K662" s="68">
        <v>330</v>
      </c>
      <c r="M662" s="66"/>
    </row>
    <row r="663" spans="1:13" x14ac:dyDescent="0.4">
      <c r="A663" s="68">
        <v>330.5</v>
      </c>
      <c r="B663" s="68">
        <f t="shared" si="37"/>
        <v>330.4</v>
      </c>
      <c r="C663" s="68"/>
      <c r="D663" s="68"/>
      <c r="F663" s="68"/>
      <c r="G663" s="68">
        <v>330.5</v>
      </c>
      <c r="H663" s="68"/>
      <c r="I663" s="69"/>
      <c r="J663" s="68"/>
      <c r="K663" s="68">
        <v>330.5</v>
      </c>
      <c r="M663" s="66"/>
    </row>
    <row r="664" spans="1:13" x14ac:dyDescent="0.4">
      <c r="A664" s="68">
        <v>331</v>
      </c>
      <c r="B664" s="68">
        <f t="shared" si="37"/>
        <v>330.9</v>
      </c>
      <c r="C664" s="68"/>
      <c r="D664" s="68"/>
      <c r="F664" s="68"/>
      <c r="G664" s="68">
        <v>331</v>
      </c>
      <c r="H664" s="68"/>
      <c r="I664" s="69"/>
      <c r="J664" s="68"/>
      <c r="K664" s="68">
        <v>331</v>
      </c>
      <c r="M664" s="66"/>
    </row>
    <row r="665" spans="1:13" x14ac:dyDescent="0.4">
      <c r="A665" s="68">
        <v>331.5</v>
      </c>
      <c r="B665" s="68">
        <f t="shared" si="37"/>
        <v>331.4</v>
      </c>
      <c r="C665" s="68"/>
      <c r="D665" s="68"/>
      <c r="F665" s="68"/>
      <c r="G665" s="68">
        <v>331.5</v>
      </c>
      <c r="H665" s="68"/>
      <c r="I665" s="69"/>
      <c r="J665" s="68"/>
      <c r="K665" s="68">
        <v>331.5</v>
      </c>
      <c r="M665" s="66"/>
    </row>
    <row r="666" spans="1:13" x14ac:dyDescent="0.4">
      <c r="A666" s="68">
        <v>332</v>
      </c>
      <c r="B666" s="68">
        <f t="shared" si="37"/>
        <v>331.9</v>
      </c>
      <c r="C666" s="68"/>
      <c r="D666" s="68"/>
      <c r="F666" s="68"/>
      <c r="G666" s="68">
        <v>332</v>
      </c>
      <c r="H666" s="68"/>
      <c r="I666" s="69"/>
      <c r="J666" s="68"/>
      <c r="K666" s="68">
        <v>332</v>
      </c>
      <c r="M666" s="66"/>
    </row>
    <row r="667" spans="1:13" x14ac:dyDescent="0.4">
      <c r="A667" s="68">
        <v>332.5</v>
      </c>
      <c r="B667" s="68">
        <f t="shared" si="37"/>
        <v>332.4</v>
      </c>
      <c r="C667" s="68"/>
      <c r="D667" s="68"/>
      <c r="F667" s="68"/>
      <c r="G667" s="68">
        <v>332.5</v>
      </c>
      <c r="H667" s="68"/>
      <c r="I667" s="69"/>
      <c r="J667" s="68"/>
      <c r="K667" s="68">
        <v>332.5</v>
      </c>
      <c r="M667" s="66"/>
    </row>
    <row r="668" spans="1:13" x14ac:dyDescent="0.4">
      <c r="A668" s="68">
        <v>333</v>
      </c>
      <c r="B668" s="68">
        <f t="shared" si="37"/>
        <v>332.9</v>
      </c>
      <c r="C668" s="68"/>
      <c r="D668" s="68"/>
      <c r="F668" s="68"/>
      <c r="G668" s="68">
        <v>333</v>
      </c>
      <c r="H668" s="68"/>
      <c r="I668" s="69"/>
      <c r="J668" s="68"/>
      <c r="K668" s="68">
        <v>333</v>
      </c>
      <c r="M668" s="66"/>
    </row>
    <row r="669" spans="1:13" x14ac:dyDescent="0.4">
      <c r="A669" s="68">
        <v>333.5</v>
      </c>
      <c r="B669" s="68">
        <f t="shared" si="37"/>
        <v>333.4</v>
      </c>
      <c r="C669" s="68"/>
      <c r="D669" s="68"/>
      <c r="F669" s="68"/>
      <c r="G669" s="68">
        <v>333.5</v>
      </c>
      <c r="H669" s="68"/>
      <c r="I669" s="69"/>
      <c r="J669" s="68"/>
      <c r="K669" s="68">
        <v>333.5</v>
      </c>
      <c r="M669" s="66"/>
    </row>
    <row r="670" spans="1:13" x14ac:dyDescent="0.4">
      <c r="A670" s="68">
        <v>334</v>
      </c>
      <c r="B670" s="68">
        <f t="shared" si="37"/>
        <v>333.9</v>
      </c>
      <c r="C670" s="68"/>
      <c r="D670" s="68"/>
      <c r="F670" s="68"/>
      <c r="G670" s="68">
        <v>334</v>
      </c>
      <c r="H670" s="68"/>
      <c r="I670" s="69"/>
      <c r="J670" s="68"/>
      <c r="K670" s="68">
        <v>334</v>
      </c>
      <c r="M670" s="66"/>
    </row>
    <row r="671" spans="1:13" x14ac:dyDescent="0.4">
      <c r="A671" s="68">
        <v>334.5</v>
      </c>
      <c r="B671" s="68">
        <f t="shared" si="37"/>
        <v>334.4</v>
      </c>
      <c r="C671" s="68"/>
      <c r="D671" s="68"/>
      <c r="F671" s="68"/>
      <c r="G671" s="68">
        <v>334.5</v>
      </c>
      <c r="H671" s="68"/>
      <c r="I671" s="69"/>
      <c r="J671" s="68"/>
      <c r="K671" s="68">
        <v>334.5</v>
      </c>
      <c r="M671" s="66"/>
    </row>
    <row r="672" spans="1:13" x14ac:dyDescent="0.4">
      <c r="A672" s="68">
        <v>335</v>
      </c>
      <c r="B672" s="68">
        <f t="shared" si="37"/>
        <v>334.9</v>
      </c>
      <c r="C672" s="68"/>
      <c r="D672" s="68"/>
      <c r="F672" s="68"/>
      <c r="G672" s="68">
        <v>335</v>
      </c>
      <c r="H672" s="68"/>
      <c r="I672" s="69"/>
      <c r="J672" s="68"/>
      <c r="K672" s="68">
        <v>335</v>
      </c>
      <c r="M672" s="66"/>
    </row>
    <row r="673" spans="1:13" x14ac:dyDescent="0.4">
      <c r="A673" s="68">
        <v>335.5</v>
      </c>
      <c r="B673" s="68">
        <f t="shared" si="37"/>
        <v>335.4</v>
      </c>
      <c r="C673" s="68"/>
      <c r="D673" s="68"/>
      <c r="F673" s="68"/>
      <c r="G673" s="68">
        <v>335.5</v>
      </c>
      <c r="H673" s="68"/>
      <c r="I673" s="69"/>
      <c r="J673" s="68"/>
      <c r="K673" s="68">
        <v>335.5</v>
      </c>
      <c r="M673" s="66"/>
    </row>
    <row r="674" spans="1:13" x14ac:dyDescent="0.4">
      <c r="A674" s="68">
        <v>336</v>
      </c>
      <c r="B674" s="68">
        <f t="shared" si="37"/>
        <v>335.9</v>
      </c>
      <c r="C674" s="68"/>
      <c r="D674" s="68"/>
      <c r="F674" s="68"/>
      <c r="G674" s="68">
        <v>336</v>
      </c>
      <c r="H674" s="68"/>
      <c r="I674" s="69"/>
      <c r="J674" s="68"/>
      <c r="K674" s="68">
        <v>336</v>
      </c>
      <c r="M674" s="66"/>
    </row>
    <row r="675" spans="1:13" x14ac:dyDescent="0.4">
      <c r="A675" s="68">
        <v>336.5</v>
      </c>
      <c r="B675" s="68">
        <f t="shared" si="37"/>
        <v>336.4</v>
      </c>
      <c r="C675" s="68"/>
      <c r="D675" s="68"/>
      <c r="F675" s="68"/>
      <c r="G675" s="68">
        <v>336.5</v>
      </c>
      <c r="H675" s="68"/>
      <c r="I675" s="69"/>
      <c r="J675" s="68"/>
      <c r="K675" s="68">
        <v>336.5</v>
      </c>
      <c r="M675" s="66"/>
    </row>
    <row r="676" spans="1:13" x14ac:dyDescent="0.4">
      <c r="A676" s="68">
        <v>337</v>
      </c>
      <c r="B676" s="68">
        <f t="shared" si="37"/>
        <v>336.9</v>
      </c>
      <c r="C676" s="68"/>
      <c r="D676" s="68"/>
      <c r="F676" s="68"/>
      <c r="G676" s="68">
        <v>337</v>
      </c>
      <c r="H676" s="68"/>
      <c r="I676" s="69"/>
      <c r="J676" s="68"/>
      <c r="K676" s="68">
        <v>337</v>
      </c>
      <c r="M676" s="66"/>
    </row>
    <row r="677" spans="1:13" x14ac:dyDescent="0.4">
      <c r="A677" s="68">
        <v>337.5</v>
      </c>
      <c r="B677" s="68">
        <f t="shared" si="37"/>
        <v>337.4</v>
      </c>
      <c r="C677" s="68"/>
      <c r="D677" s="68"/>
      <c r="F677" s="68"/>
      <c r="G677" s="68">
        <v>337.5</v>
      </c>
      <c r="H677" s="68"/>
      <c r="I677" s="69"/>
      <c r="J677" s="68"/>
      <c r="K677" s="68">
        <v>337.5</v>
      </c>
      <c r="M677" s="66"/>
    </row>
    <row r="678" spans="1:13" x14ac:dyDescent="0.4">
      <c r="A678" s="68">
        <v>338</v>
      </c>
      <c r="B678" s="68">
        <f t="shared" si="37"/>
        <v>337.9</v>
      </c>
      <c r="C678" s="68"/>
      <c r="D678" s="68"/>
      <c r="F678" s="68"/>
      <c r="G678" s="68">
        <v>338</v>
      </c>
      <c r="H678" s="68"/>
      <c r="I678" s="69"/>
      <c r="J678" s="68"/>
      <c r="K678" s="68">
        <v>338</v>
      </c>
      <c r="M678" s="66"/>
    </row>
    <row r="679" spans="1:13" x14ac:dyDescent="0.4">
      <c r="A679" s="68">
        <v>338.5</v>
      </c>
      <c r="B679" s="68">
        <f t="shared" si="37"/>
        <v>338.4</v>
      </c>
      <c r="C679" s="68"/>
      <c r="D679" s="68"/>
      <c r="F679" s="68"/>
      <c r="G679" s="68">
        <v>338.5</v>
      </c>
      <c r="H679" s="68"/>
      <c r="I679" s="69"/>
      <c r="J679" s="68"/>
      <c r="K679" s="68">
        <v>338.5</v>
      </c>
      <c r="M679" s="66"/>
    </row>
    <row r="680" spans="1:13" x14ac:dyDescent="0.4">
      <c r="A680" s="68">
        <v>339</v>
      </c>
      <c r="B680" s="68">
        <f t="shared" si="37"/>
        <v>338.9</v>
      </c>
      <c r="C680" s="68"/>
      <c r="D680" s="68"/>
      <c r="F680" s="68"/>
      <c r="G680" s="68">
        <v>339</v>
      </c>
      <c r="H680" s="68"/>
      <c r="I680" s="69"/>
      <c r="J680" s="68"/>
      <c r="K680" s="68">
        <v>339</v>
      </c>
      <c r="M680" s="66"/>
    </row>
    <row r="681" spans="1:13" x14ac:dyDescent="0.4">
      <c r="A681" s="68">
        <v>339.5</v>
      </c>
      <c r="B681" s="68">
        <f t="shared" si="37"/>
        <v>339.4</v>
      </c>
      <c r="C681" s="68"/>
      <c r="D681" s="68"/>
      <c r="F681" s="68"/>
      <c r="G681" s="68">
        <v>339.5</v>
      </c>
      <c r="H681" s="68"/>
      <c r="I681" s="69"/>
      <c r="J681" s="68"/>
      <c r="K681" s="68">
        <v>339.5</v>
      </c>
      <c r="M681" s="66"/>
    </row>
    <row r="682" spans="1:13" x14ac:dyDescent="0.4">
      <c r="A682" s="68">
        <v>340</v>
      </c>
      <c r="B682" s="68">
        <f t="shared" si="37"/>
        <v>339.9</v>
      </c>
      <c r="C682" s="68">
        <v>14610800</v>
      </c>
      <c r="D682" s="68"/>
      <c r="E682" s="62">
        <f>I682*1000</f>
        <v>9068772.4137931038</v>
      </c>
      <c r="F682" s="68"/>
      <c r="G682" s="68">
        <v>340</v>
      </c>
      <c r="H682" s="68"/>
      <c r="I682" s="69">
        <f>(18/29)*(C682)/1000</f>
        <v>9068.7724137931036</v>
      </c>
      <c r="J682" s="70">
        <f>((22.41/273)*(A682+273))*((1/29)+((1/18)*I682))</f>
        <v>25353.936907161802</v>
      </c>
      <c r="K682" s="68">
        <v>340</v>
      </c>
      <c r="M682" s="66"/>
    </row>
    <row r="683" spans="1:13" x14ac:dyDescent="0.4">
      <c r="A683" s="68">
        <v>340.5</v>
      </c>
      <c r="B683" s="68">
        <f t="shared" si="37"/>
        <v>340.4</v>
      </c>
      <c r="C683" s="68"/>
      <c r="D683" s="68"/>
      <c r="F683" s="68"/>
      <c r="G683" s="68">
        <v>340.5</v>
      </c>
      <c r="H683" s="68"/>
      <c r="I683" s="69"/>
      <c r="J683" s="68"/>
      <c r="K683" s="68">
        <v>340.5</v>
      </c>
      <c r="M683" s="66"/>
    </row>
    <row r="684" spans="1:13" x14ac:dyDescent="0.4">
      <c r="A684" s="68">
        <v>341</v>
      </c>
      <c r="B684" s="68">
        <f t="shared" si="37"/>
        <v>340.9</v>
      </c>
      <c r="C684" s="68"/>
      <c r="D684" s="68"/>
      <c r="F684" s="68"/>
      <c r="G684" s="68">
        <v>341</v>
      </c>
      <c r="H684" s="68"/>
      <c r="I684" s="69"/>
      <c r="J684" s="68"/>
      <c r="K684" s="68">
        <v>341</v>
      </c>
      <c r="M684" s="66"/>
    </row>
    <row r="685" spans="1:13" x14ac:dyDescent="0.4">
      <c r="A685" s="68">
        <v>341.5</v>
      </c>
      <c r="B685" s="68">
        <f t="shared" si="37"/>
        <v>341.4</v>
      </c>
      <c r="C685" s="68"/>
      <c r="D685" s="68"/>
      <c r="F685" s="68"/>
      <c r="G685" s="68">
        <v>341.5</v>
      </c>
      <c r="H685" s="68"/>
      <c r="I685" s="69"/>
      <c r="J685" s="68"/>
      <c r="K685" s="68">
        <v>341.5</v>
      </c>
      <c r="M685" s="66"/>
    </row>
    <row r="686" spans="1:13" x14ac:dyDescent="0.4">
      <c r="A686" s="68">
        <v>342</v>
      </c>
      <c r="B686" s="68">
        <f t="shared" si="37"/>
        <v>341.9</v>
      </c>
      <c r="C686" s="68"/>
      <c r="D686" s="68"/>
      <c r="F686" s="68"/>
      <c r="G686" s="68">
        <v>342</v>
      </c>
      <c r="H686" s="68"/>
      <c r="I686" s="69"/>
      <c r="J686" s="68"/>
      <c r="K686" s="68">
        <v>342</v>
      </c>
      <c r="M686" s="66"/>
    </row>
    <row r="687" spans="1:13" x14ac:dyDescent="0.4">
      <c r="A687" s="68">
        <v>342.5</v>
      </c>
      <c r="B687" s="68">
        <f t="shared" si="37"/>
        <v>342.4</v>
      </c>
      <c r="C687" s="68"/>
      <c r="D687" s="68"/>
      <c r="F687" s="68"/>
      <c r="G687" s="68">
        <v>342.5</v>
      </c>
      <c r="H687" s="68"/>
      <c r="I687" s="69"/>
      <c r="J687" s="68"/>
      <c r="K687" s="68">
        <v>342.5</v>
      </c>
      <c r="M687" s="66"/>
    </row>
    <row r="688" spans="1:13" x14ac:dyDescent="0.4">
      <c r="A688" s="68">
        <v>343</v>
      </c>
      <c r="B688" s="68">
        <f t="shared" si="37"/>
        <v>342.9</v>
      </c>
      <c r="C688" s="68"/>
      <c r="D688" s="68"/>
      <c r="F688" s="68"/>
      <c r="G688" s="68">
        <v>343</v>
      </c>
      <c r="H688" s="68"/>
      <c r="I688" s="69"/>
      <c r="J688" s="68"/>
      <c r="K688" s="68">
        <v>343</v>
      </c>
      <c r="M688" s="66"/>
    </row>
    <row r="689" spans="1:13" x14ac:dyDescent="0.4">
      <c r="A689" s="68">
        <v>343.5</v>
      </c>
      <c r="B689" s="68">
        <f t="shared" si="37"/>
        <v>343.4</v>
      </c>
      <c r="C689" s="68"/>
      <c r="D689" s="68"/>
      <c r="F689" s="68"/>
      <c r="G689" s="68">
        <v>343.5</v>
      </c>
      <c r="H689" s="68"/>
      <c r="I689" s="69"/>
      <c r="J689" s="68"/>
      <c r="K689" s="68">
        <v>343.5</v>
      </c>
      <c r="M689" s="66"/>
    </row>
    <row r="690" spans="1:13" x14ac:dyDescent="0.4">
      <c r="A690" s="68">
        <v>344</v>
      </c>
      <c r="B690" s="68">
        <f t="shared" si="37"/>
        <v>343.9</v>
      </c>
      <c r="C690" s="68"/>
      <c r="D690" s="68"/>
      <c r="F690" s="68"/>
      <c r="G690" s="68">
        <v>344</v>
      </c>
      <c r="H690" s="68"/>
      <c r="I690" s="69"/>
      <c r="J690" s="68"/>
      <c r="K690" s="68">
        <v>344</v>
      </c>
      <c r="M690" s="66"/>
    </row>
    <row r="691" spans="1:13" x14ac:dyDescent="0.4">
      <c r="A691" s="68">
        <v>344.5</v>
      </c>
      <c r="B691" s="68">
        <f t="shared" si="37"/>
        <v>344.4</v>
      </c>
      <c r="C691" s="68"/>
      <c r="D691" s="68"/>
      <c r="F691" s="68"/>
      <c r="G691" s="68">
        <v>344.5</v>
      </c>
      <c r="H691" s="68"/>
      <c r="I691" s="69"/>
      <c r="J691" s="68"/>
      <c r="K691" s="68">
        <v>344.5</v>
      </c>
      <c r="M691" s="66"/>
    </row>
    <row r="692" spans="1:13" x14ac:dyDescent="0.4">
      <c r="A692" s="68">
        <v>345</v>
      </c>
      <c r="B692" s="68">
        <f t="shared" si="37"/>
        <v>344.9</v>
      </c>
      <c r="C692" s="68"/>
      <c r="D692" s="68"/>
      <c r="F692" s="68"/>
      <c r="G692" s="68">
        <v>345</v>
      </c>
      <c r="H692" s="68"/>
      <c r="I692" s="69"/>
      <c r="J692" s="68"/>
      <c r="K692" s="68">
        <v>345</v>
      </c>
      <c r="M692" s="66"/>
    </row>
    <row r="693" spans="1:13" x14ac:dyDescent="0.4">
      <c r="A693" s="68">
        <v>345.5</v>
      </c>
      <c r="B693" s="68">
        <f t="shared" si="37"/>
        <v>345.4</v>
      </c>
      <c r="C693" s="68"/>
      <c r="D693" s="68"/>
      <c r="F693" s="68"/>
      <c r="G693" s="68">
        <v>345.5</v>
      </c>
      <c r="H693" s="68"/>
      <c r="I693" s="69"/>
      <c r="J693" s="68"/>
      <c r="K693" s="68">
        <v>345.5</v>
      </c>
      <c r="M693" s="66"/>
    </row>
    <row r="694" spans="1:13" x14ac:dyDescent="0.4">
      <c r="A694" s="68">
        <v>346</v>
      </c>
      <c r="B694" s="68">
        <f t="shared" si="37"/>
        <v>345.9</v>
      </c>
      <c r="C694" s="68"/>
      <c r="D694" s="68"/>
      <c r="F694" s="68"/>
      <c r="G694" s="68">
        <v>346</v>
      </c>
      <c r="H694" s="68"/>
      <c r="I694" s="69"/>
      <c r="J694" s="68"/>
      <c r="K694" s="68">
        <v>346</v>
      </c>
      <c r="M694" s="66"/>
    </row>
    <row r="695" spans="1:13" x14ac:dyDescent="0.4">
      <c r="A695" s="68">
        <v>346.5</v>
      </c>
      <c r="B695" s="68">
        <f t="shared" si="37"/>
        <v>346.4</v>
      </c>
      <c r="C695" s="68"/>
      <c r="D695" s="68"/>
      <c r="F695" s="68"/>
      <c r="G695" s="68">
        <v>346.5</v>
      </c>
      <c r="H695" s="68"/>
      <c r="I695" s="69"/>
      <c r="J695" s="68"/>
      <c r="K695" s="68">
        <v>346.5</v>
      </c>
      <c r="M695" s="66"/>
    </row>
    <row r="696" spans="1:13" x14ac:dyDescent="0.4">
      <c r="A696" s="68">
        <v>347</v>
      </c>
      <c r="B696" s="68">
        <f t="shared" si="37"/>
        <v>346.9</v>
      </c>
      <c r="C696" s="68"/>
      <c r="D696" s="68"/>
      <c r="F696" s="68"/>
      <c r="G696" s="68">
        <v>347</v>
      </c>
      <c r="H696" s="68"/>
      <c r="I696" s="69"/>
      <c r="J696" s="68"/>
      <c r="K696" s="68">
        <v>347</v>
      </c>
      <c r="M696" s="66"/>
    </row>
    <row r="697" spans="1:13" x14ac:dyDescent="0.4">
      <c r="A697" s="68">
        <v>347.5</v>
      </c>
      <c r="B697" s="68">
        <f t="shared" si="37"/>
        <v>347.4</v>
      </c>
      <c r="C697" s="68"/>
      <c r="D697" s="68"/>
      <c r="F697" s="68"/>
      <c r="G697" s="68">
        <v>347.5</v>
      </c>
      <c r="H697" s="68"/>
      <c r="I697" s="69"/>
      <c r="J697" s="68"/>
      <c r="K697" s="68">
        <v>347.5</v>
      </c>
      <c r="M697" s="66"/>
    </row>
    <row r="698" spans="1:13" x14ac:dyDescent="0.4">
      <c r="A698" s="68">
        <v>348</v>
      </c>
      <c r="B698" s="68">
        <f t="shared" si="37"/>
        <v>347.9</v>
      </c>
      <c r="C698" s="68"/>
      <c r="D698" s="68"/>
      <c r="F698" s="68"/>
      <c r="G698" s="68">
        <v>348</v>
      </c>
      <c r="H698" s="68"/>
      <c r="I698" s="69"/>
      <c r="J698" s="68"/>
      <c r="K698" s="68">
        <v>348</v>
      </c>
      <c r="M698" s="66"/>
    </row>
    <row r="699" spans="1:13" x14ac:dyDescent="0.4">
      <c r="A699" s="68">
        <v>348.5</v>
      </c>
      <c r="B699" s="68">
        <f t="shared" si="37"/>
        <v>348.4</v>
      </c>
      <c r="C699" s="68"/>
      <c r="D699" s="68"/>
      <c r="F699" s="68"/>
      <c r="G699" s="68">
        <v>348.5</v>
      </c>
      <c r="H699" s="68"/>
      <c r="I699" s="69"/>
      <c r="J699" s="68"/>
      <c r="K699" s="68">
        <v>348.5</v>
      </c>
      <c r="M699" s="66"/>
    </row>
    <row r="700" spans="1:13" x14ac:dyDescent="0.4">
      <c r="A700" s="68">
        <v>349</v>
      </c>
      <c r="B700" s="68">
        <f t="shared" si="37"/>
        <v>348.9</v>
      </c>
      <c r="C700" s="68"/>
      <c r="D700" s="68"/>
      <c r="F700" s="68"/>
      <c r="G700" s="68">
        <v>349</v>
      </c>
      <c r="H700" s="68"/>
      <c r="I700" s="69"/>
      <c r="J700" s="68"/>
      <c r="K700" s="68">
        <v>349</v>
      </c>
      <c r="M700" s="66"/>
    </row>
    <row r="701" spans="1:13" x14ac:dyDescent="0.4">
      <c r="A701" s="68">
        <v>349.5</v>
      </c>
      <c r="B701" s="68">
        <f t="shared" si="37"/>
        <v>349.4</v>
      </c>
      <c r="C701" s="68"/>
      <c r="D701" s="68"/>
      <c r="F701" s="68"/>
      <c r="G701" s="68">
        <v>349.5</v>
      </c>
      <c r="H701" s="68"/>
      <c r="I701" s="69"/>
      <c r="J701" s="68"/>
      <c r="K701" s="68">
        <v>349.5</v>
      </c>
      <c r="M701" s="66"/>
    </row>
    <row r="702" spans="1:13" x14ac:dyDescent="0.4">
      <c r="A702" s="68">
        <v>350</v>
      </c>
      <c r="B702" s="68">
        <f t="shared" si="37"/>
        <v>349.9</v>
      </c>
      <c r="C702" s="68"/>
      <c r="D702" s="68"/>
      <c r="F702" s="68"/>
      <c r="G702" s="68">
        <v>350</v>
      </c>
      <c r="H702" s="68"/>
      <c r="I702" s="69"/>
      <c r="J702" s="68"/>
      <c r="K702" s="68">
        <v>350</v>
      </c>
      <c r="M702" s="66"/>
    </row>
    <row r="703" spans="1:13" x14ac:dyDescent="0.4">
      <c r="A703" s="68">
        <v>350.5</v>
      </c>
      <c r="B703" s="68">
        <f t="shared" si="37"/>
        <v>350.4</v>
      </c>
      <c r="C703" s="68"/>
      <c r="D703" s="68"/>
      <c r="F703" s="68"/>
      <c r="G703" s="68">
        <v>350.5</v>
      </c>
      <c r="H703" s="68"/>
      <c r="I703" s="69"/>
      <c r="J703" s="68"/>
      <c r="K703" s="68">
        <v>350.5</v>
      </c>
      <c r="M703" s="66"/>
    </row>
    <row r="704" spans="1:13" x14ac:dyDescent="0.4">
      <c r="A704" s="68">
        <v>351</v>
      </c>
      <c r="B704" s="68">
        <f t="shared" si="37"/>
        <v>350.9</v>
      </c>
      <c r="C704" s="68"/>
      <c r="D704" s="68"/>
      <c r="F704" s="68"/>
      <c r="G704" s="68">
        <v>351</v>
      </c>
      <c r="H704" s="68"/>
      <c r="I704" s="69"/>
      <c r="J704" s="68"/>
      <c r="K704" s="68">
        <v>351</v>
      </c>
      <c r="M704" s="66"/>
    </row>
    <row r="705" spans="1:13" x14ac:dyDescent="0.4">
      <c r="A705" s="68">
        <v>351.5</v>
      </c>
      <c r="B705" s="68">
        <f t="shared" si="37"/>
        <v>351.4</v>
      </c>
      <c r="C705" s="68"/>
      <c r="D705" s="68"/>
      <c r="F705" s="68"/>
      <c r="G705" s="68">
        <v>351.5</v>
      </c>
      <c r="H705" s="68"/>
      <c r="I705" s="69"/>
      <c r="J705" s="68"/>
      <c r="K705" s="68">
        <v>351.5</v>
      </c>
      <c r="M705" s="66"/>
    </row>
    <row r="706" spans="1:13" x14ac:dyDescent="0.4">
      <c r="A706" s="68">
        <v>352</v>
      </c>
      <c r="B706" s="68">
        <f t="shared" ref="B706:B722" si="38">A706-0.1</f>
        <v>351.9</v>
      </c>
      <c r="C706" s="68"/>
      <c r="D706" s="68"/>
      <c r="F706" s="68"/>
      <c r="G706" s="68">
        <v>352</v>
      </c>
      <c r="H706" s="68"/>
      <c r="I706" s="69"/>
      <c r="J706" s="68"/>
      <c r="K706" s="68">
        <v>352</v>
      </c>
      <c r="M706" s="66"/>
    </row>
    <row r="707" spans="1:13" x14ac:dyDescent="0.4">
      <c r="A707" s="68">
        <v>352.5</v>
      </c>
      <c r="B707" s="68">
        <f t="shared" si="38"/>
        <v>352.4</v>
      </c>
      <c r="C707" s="68"/>
      <c r="D707" s="68"/>
      <c r="F707" s="68"/>
      <c r="G707" s="68">
        <v>352.5</v>
      </c>
      <c r="H707" s="68"/>
      <c r="I707" s="69"/>
      <c r="J707" s="68"/>
      <c r="K707" s="68">
        <v>352.5</v>
      </c>
      <c r="M707" s="66"/>
    </row>
    <row r="708" spans="1:13" x14ac:dyDescent="0.4">
      <c r="A708" s="68">
        <v>353</v>
      </c>
      <c r="B708" s="68">
        <f t="shared" si="38"/>
        <v>352.9</v>
      </c>
      <c r="C708" s="68"/>
      <c r="D708" s="68"/>
      <c r="F708" s="68"/>
      <c r="G708" s="68">
        <v>353</v>
      </c>
      <c r="H708" s="68"/>
      <c r="I708" s="69"/>
      <c r="J708" s="68"/>
      <c r="K708" s="68">
        <v>353</v>
      </c>
      <c r="M708" s="66"/>
    </row>
    <row r="709" spans="1:13" x14ac:dyDescent="0.4">
      <c r="A709" s="68">
        <v>353.5</v>
      </c>
      <c r="B709" s="68">
        <f t="shared" si="38"/>
        <v>353.4</v>
      </c>
      <c r="C709" s="68"/>
      <c r="D709" s="68"/>
      <c r="F709" s="68"/>
      <c r="G709" s="68">
        <v>353.5</v>
      </c>
      <c r="H709" s="68"/>
      <c r="I709" s="69"/>
      <c r="J709" s="68"/>
      <c r="K709" s="68">
        <v>353.5</v>
      </c>
      <c r="M709" s="66"/>
    </row>
    <row r="710" spans="1:13" x14ac:dyDescent="0.4">
      <c r="A710" s="68">
        <v>354</v>
      </c>
      <c r="B710" s="68">
        <f t="shared" si="38"/>
        <v>353.9</v>
      </c>
      <c r="C710" s="68"/>
      <c r="D710" s="68"/>
      <c r="F710" s="68"/>
      <c r="G710" s="68">
        <v>354</v>
      </c>
      <c r="H710" s="68"/>
      <c r="I710" s="69"/>
      <c r="J710" s="68"/>
      <c r="K710" s="68">
        <v>354</v>
      </c>
      <c r="M710" s="66"/>
    </row>
    <row r="711" spans="1:13" x14ac:dyDescent="0.4">
      <c r="A711" s="68">
        <v>354.5</v>
      </c>
      <c r="B711" s="68">
        <f t="shared" si="38"/>
        <v>354.4</v>
      </c>
      <c r="C711" s="68"/>
      <c r="D711" s="68"/>
      <c r="F711" s="68"/>
      <c r="G711" s="68">
        <v>354.5</v>
      </c>
      <c r="H711" s="68"/>
      <c r="I711" s="69"/>
      <c r="J711" s="68"/>
      <c r="K711" s="68">
        <v>354.5</v>
      </c>
      <c r="M711" s="66"/>
    </row>
    <row r="712" spans="1:13" x14ac:dyDescent="0.4">
      <c r="A712" s="68">
        <v>355</v>
      </c>
      <c r="B712" s="68">
        <f t="shared" si="38"/>
        <v>354.9</v>
      </c>
      <c r="C712" s="68"/>
      <c r="D712" s="68"/>
      <c r="F712" s="68"/>
      <c r="G712" s="68">
        <v>355</v>
      </c>
      <c r="H712" s="68"/>
      <c r="I712" s="69"/>
      <c r="J712" s="68"/>
      <c r="K712" s="68">
        <v>355</v>
      </c>
      <c r="M712" s="66"/>
    </row>
    <row r="713" spans="1:13" x14ac:dyDescent="0.4">
      <c r="A713" s="68">
        <v>355.5</v>
      </c>
      <c r="B713" s="68">
        <f t="shared" si="38"/>
        <v>355.4</v>
      </c>
      <c r="C713" s="68"/>
      <c r="D713" s="68"/>
      <c r="F713" s="68"/>
      <c r="G713" s="68">
        <v>355.5</v>
      </c>
      <c r="H713" s="68"/>
      <c r="I713" s="69"/>
      <c r="J713" s="68"/>
      <c r="K713" s="68">
        <v>355.5</v>
      </c>
      <c r="M713" s="66"/>
    </row>
    <row r="714" spans="1:13" x14ac:dyDescent="0.4">
      <c r="A714" s="68">
        <v>356</v>
      </c>
      <c r="B714" s="68">
        <f t="shared" si="38"/>
        <v>355.9</v>
      </c>
      <c r="C714" s="68"/>
      <c r="D714" s="68"/>
      <c r="F714" s="68"/>
      <c r="G714" s="68">
        <v>356</v>
      </c>
      <c r="H714" s="68"/>
      <c r="I714" s="69"/>
      <c r="J714" s="68"/>
      <c r="K714" s="68">
        <v>356</v>
      </c>
      <c r="M714" s="66"/>
    </row>
    <row r="715" spans="1:13" x14ac:dyDescent="0.4">
      <c r="A715" s="68">
        <v>356.5</v>
      </c>
      <c r="B715" s="68">
        <f t="shared" si="38"/>
        <v>356.4</v>
      </c>
      <c r="C715" s="68"/>
      <c r="D715" s="68"/>
      <c r="F715" s="68"/>
      <c r="G715" s="68">
        <v>356.5</v>
      </c>
      <c r="H715" s="68"/>
      <c r="I715" s="69"/>
      <c r="J715" s="68"/>
      <c r="K715" s="68">
        <v>356.5</v>
      </c>
      <c r="M715" s="66"/>
    </row>
    <row r="716" spans="1:13" x14ac:dyDescent="0.4">
      <c r="A716" s="68">
        <v>357</v>
      </c>
      <c r="B716" s="68">
        <f t="shared" si="38"/>
        <v>356.9</v>
      </c>
      <c r="C716" s="68"/>
      <c r="D716" s="68"/>
      <c r="F716" s="68"/>
      <c r="G716" s="68">
        <v>357</v>
      </c>
      <c r="H716" s="68"/>
      <c r="I716" s="69"/>
      <c r="J716" s="68"/>
      <c r="K716" s="68">
        <v>357</v>
      </c>
      <c r="M716" s="66"/>
    </row>
    <row r="717" spans="1:13" x14ac:dyDescent="0.4">
      <c r="A717" s="68">
        <v>357.5</v>
      </c>
      <c r="B717" s="68">
        <f t="shared" si="38"/>
        <v>357.4</v>
      </c>
      <c r="C717" s="68"/>
      <c r="D717" s="68"/>
      <c r="F717" s="68"/>
      <c r="G717" s="68">
        <v>357.5</v>
      </c>
      <c r="H717" s="68"/>
      <c r="I717" s="69"/>
      <c r="J717" s="68"/>
      <c r="K717" s="68">
        <v>357.5</v>
      </c>
      <c r="M717" s="66"/>
    </row>
    <row r="718" spans="1:13" x14ac:dyDescent="0.4">
      <c r="A718" s="68">
        <v>358</v>
      </c>
      <c r="B718" s="68">
        <f t="shared" si="38"/>
        <v>357.9</v>
      </c>
      <c r="C718" s="68"/>
      <c r="D718" s="68"/>
      <c r="F718" s="68"/>
      <c r="G718" s="68">
        <v>358</v>
      </c>
      <c r="H718" s="68"/>
      <c r="I718" s="69"/>
      <c r="J718" s="68"/>
      <c r="K718" s="68">
        <v>358</v>
      </c>
      <c r="M718" s="66"/>
    </row>
    <row r="719" spans="1:13" x14ac:dyDescent="0.4">
      <c r="A719" s="68">
        <v>358.5</v>
      </c>
      <c r="B719" s="68">
        <f t="shared" si="38"/>
        <v>358.4</v>
      </c>
      <c r="C719" s="68"/>
      <c r="D719" s="68"/>
      <c r="F719" s="68"/>
      <c r="G719" s="68">
        <v>358.5</v>
      </c>
      <c r="H719" s="68"/>
      <c r="I719" s="69"/>
      <c r="J719" s="68"/>
      <c r="K719" s="68">
        <v>358.5</v>
      </c>
      <c r="M719" s="66"/>
    </row>
    <row r="720" spans="1:13" x14ac:dyDescent="0.4">
      <c r="A720" s="68">
        <v>359</v>
      </c>
      <c r="B720" s="68">
        <f t="shared" si="38"/>
        <v>358.9</v>
      </c>
      <c r="C720" s="68"/>
      <c r="D720" s="68"/>
      <c r="F720" s="68"/>
      <c r="G720" s="68">
        <v>359</v>
      </c>
      <c r="H720" s="68"/>
      <c r="I720" s="69"/>
      <c r="J720" s="68"/>
      <c r="K720" s="68">
        <v>359</v>
      </c>
      <c r="M720" s="66"/>
    </row>
    <row r="721" spans="1:13" x14ac:dyDescent="0.4">
      <c r="A721" s="68">
        <v>359.5</v>
      </c>
      <c r="B721" s="68">
        <f t="shared" si="38"/>
        <v>359.4</v>
      </c>
      <c r="C721" s="68"/>
      <c r="D721" s="68"/>
      <c r="F721" s="68"/>
      <c r="G721" s="68">
        <v>359.5</v>
      </c>
      <c r="H721" s="68"/>
      <c r="I721" s="69"/>
      <c r="J721" s="68"/>
      <c r="K721" s="68">
        <v>359.5</v>
      </c>
      <c r="M721" s="66"/>
    </row>
    <row r="722" spans="1:13" x14ac:dyDescent="0.4">
      <c r="A722" s="68">
        <v>360</v>
      </c>
      <c r="B722" s="68">
        <f t="shared" si="38"/>
        <v>359.9</v>
      </c>
      <c r="C722" s="68">
        <v>18650500</v>
      </c>
      <c r="D722" s="68"/>
      <c r="E722" s="62">
        <f>I722*1000</f>
        <v>11576172.413793104</v>
      </c>
      <c r="F722" s="68"/>
      <c r="G722" s="68">
        <v>360</v>
      </c>
      <c r="H722" s="68"/>
      <c r="I722" s="69">
        <f>(18/29)*(C722)/1000</f>
        <v>11576.172413793103</v>
      </c>
      <c r="J722" s="70">
        <f>((22.41/273)*(A722+273))*((1/29)+((1/18)*I722))</f>
        <v>33419.402904509283</v>
      </c>
      <c r="K722" s="68">
        <v>360</v>
      </c>
      <c r="M722" s="66"/>
    </row>
    <row r="723" spans="1:13" x14ac:dyDescent="0.4">
      <c r="M723" s="66"/>
    </row>
    <row r="724" spans="1:13" x14ac:dyDescent="0.4">
      <c r="M724" s="66"/>
    </row>
    <row r="725" spans="1:13" x14ac:dyDescent="0.4">
      <c r="M725" s="66"/>
    </row>
    <row r="726" spans="1:13" x14ac:dyDescent="0.4">
      <c r="M726" s="66"/>
    </row>
    <row r="727" spans="1:13" x14ac:dyDescent="0.4">
      <c r="M727" s="66"/>
    </row>
    <row r="728" spans="1:13" x14ac:dyDescent="0.4">
      <c r="M728" s="66"/>
    </row>
    <row r="729" spans="1:13" x14ac:dyDescent="0.4">
      <c r="M729" s="66"/>
    </row>
    <row r="730" spans="1:13" x14ac:dyDescent="0.4">
      <c r="M730" s="66"/>
    </row>
    <row r="731" spans="1:13" x14ac:dyDescent="0.4">
      <c r="M731" s="66"/>
    </row>
    <row r="732" spans="1:13" x14ac:dyDescent="0.4">
      <c r="M732" s="66"/>
    </row>
    <row r="733" spans="1:13" x14ac:dyDescent="0.4">
      <c r="M733" s="66"/>
    </row>
    <row r="734" spans="1:13" x14ac:dyDescent="0.4">
      <c r="M734" s="66"/>
    </row>
    <row r="735" spans="1:13" x14ac:dyDescent="0.4">
      <c r="M735" s="66"/>
    </row>
    <row r="736" spans="1:13" x14ac:dyDescent="0.4">
      <c r="M736" s="66"/>
    </row>
    <row r="737" spans="13:13" x14ac:dyDescent="0.4">
      <c r="M737" s="66"/>
    </row>
    <row r="738" spans="13:13" x14ac:dyDescent="0.4">
      <c r="M738" s="66"/>
    </row>
    <row r="739" spans="13:13" x14ac:dyDescent="0.4">
      <c r="M739" s="66"/>
    </row>
    <row r="740" spans="13:13" x14ac:dyDescent="0.4">
      <c r="M740" s="66"/>
    </row>
    <row r="741" spans="13:13" x14ac:dyDescent="0.4">
      <c r="M741" s="66"/>
    </row>
    <row r="742" spans="13:13" x14ac:dyDescent="0.4">
      <c r="M742" s="66"/>
    </row>
    <row r="743" spans="13:13" x14ac:dyDescent="0.4">
      <c r="M743" s="66"/>
    </row>
    <row r="744" spans="13:13" x14ac:dyDescent="0.4">
      <c r="M744" s="66"/>
    </row>
    <row r="745" spans="13:13" x14ac:dyDescent="0.4">
      <c r="M745" s="66"/>
    </row>
    <row r="746" spans="13:13" x14ac:dyDescent="0.4">
      <c r="M746" s="66"/>
    </row>
    <row r="747" spans="13:13" x14ac:dyDescent="0.4">
      <c r="M747" s="66"/>
    </row>
    <row r="748" spans="13:13" x14ac:dyDescent="0.4">
      <c r="M748" s="66"/>
    </row>
    <row r="749" spans="13:13" x14ac:dyDescent="0.4">
      <c r="M749" s="66"/>
    </row>
    <row r="750" spans="13:13" x14ac:dyDescent="0.4">
      <c r="M750" s="66"/>
    </row>
    <row r="751" spans="13:13" x14ac:dyDescent="0.4">
      <c r="M751" s="66"/>
    </row>
    <row r="752" spans="13:13" x14ac:dyDescent="0.4">
      <c r="M752" s="66"/>
    </row>
    <row r="753" spans="13:13" x14ac:dyDescent="0.4">
      <c r="M753" s="66"/>
    </row>
    <row r="754" spans="13:13" x14ac:dyDescent="0.4">
      <c r="M754" s="66"/>
    </row>
    <row r="755" spans="13:13" x14ac:dyDescent="0.4">
      <c r="M755" s="66"/>
    </row>
    <row r="756" spans="13:13" x14ac:dyDescent="0.4">
      <c r="M756" s="66"/>
    </row>
    <row r="757" spans="13:13" x14ac:dyDescent="0.4">
      <c r="M757" s="66"/>
    </row>
    <row r="758" spans="13:13" x14ac:dyDescent="0.4">
      <c r="M758" s="66"/>
    </row>
    <row r="759" spans="13:13" x14ac:dyDescent="0.4">
      <c r="M759" s="66"/>
    </row>
    <row r="760" spans="13:13" x14ac:dyDescent="0.4">
      <c r="M760" s="66"/>
    </row>
    <row r="761" spans="13:13" x14ac:dyDescent="0.4">
      <c r="M761" s="66"/>
    </row>
    <row r="762" spans="13:13" x14ac:dyDescent="0.4">
      <c r="M762" s="66"/>
    </row>
    <row r="763" spans="13:13" x14ac:dyDescent="0.4">
      <c r="M763" s="66"/>
    </row>
    <row r="764" spans="13:13" x14ac:dyDescent="0.4">
      <c r="M764" s="66"/>
    </row>
    <row r="765" spans="13:13" x14ac:dyDescent="0.4">
      <c r="M765" s="66"/>
    </row>
    <row r="766" spans="13:13" x14ac:dyDescent="0.4">
      <c r="M766" s="66"/>
    </row>
    <row r="767" spans="13:13" x14ac:dyDescent="0.4">
      <c r="M767" s="66"/>
    </row>
    <row r="768" spans="13:13" x14ac:dyDescent="0.4">
      <c r="M768" s="66"/>
    </row>
    <row r="769" spans="13:13" x14ac:dyDescent="0.4">
      <c r="M769" s="66"/>
    </row>
    <row r="770" spans="13:13" x14ac:dyDescent="0.4">
      <c r="M770" s="66"/>
    </row>
    <row r="771" spans="13:13" x14ac:dyDescent="0.4">
      <c r="M771" s="66"/>
    </row>
    <row r="772" spans="13:13" x14ac:dyDescent="0.4">
      <c r="M772" s="66"/>
    </row>
    <row r="773" spans="13:13" x14ac:dyDescent="0.4">
      <c r="M773" s="66"/>
    </row>
    <row r="774" spans="13:13" x14ac:dyDescent="0.4">
      <c r="M774" s="66"/>
    </row>
    <row r="775" spans="13:13" x14ac:dyDescent="0.4">
      <c r="M775" s="66"/>
    </row>
    <row r="776" spans="13:13" x14ac:dyDescent="0.4">
      <c r="M776" s="66"/>
    </row>
    <row r="777" spans="13:13" x14ac:dyDescent="0.4">
      <c r="M777" s="66"/>
    </row>
    <row r="778" spans="13:13" x14ac:dyDescent="0.4">
      <c r="M778" s="66"/>
    </row>
    <row r="779" spans="13:13" x14ac:dyDescent="0.4">
      <c r="M779" s="66"/>
    </row>
    <row r="780" spans="13:13" x14ac:dyDescent="0.4">
      <c r="M780" s="66"/>
    </row>
    <row r="781" spans="13:13" x14ac:dyDescent="0.4">
      <c r="M781" s="66"/>
    </row>
    <row r="782" spans="13:13" x14ac:dyDescent="0.4">
      <c r="M782" s="66"/>
    </row>
    <row r="783" spans="13:13" x14ac:dyDescent="0.4">
      <c r="M783" s="66"/>
    </row>
    <row r="784" spans="13:13" x14ac:dyDescent="0.4">
      <c r="M784" s="66"/>
    </row>
    <row r="785" spans="13:13" x14ac:dyDescent="0.4">
      <c r="M785" s="66"/>
    </row>
    <row r="786" spans="13:13" x14ac:dyDescent="0.4">
      <c r="M786" s="66"/>
    </row>
    <row r="787" spans="13:13" x14ac:dyDescent="0.4">
      <c r="M787" s="66"/>
    </row>
    <row r="788" spans="13:13" x14ac:dyDescent="0.4">
      <c r="M788" s="66"/>
    </row>
    <row r="789" spans="13:13" x14ac:dyDescent="0.4">
      <c r="M789" s="66"/>
    </row>
    <row r="790" spans="13:13" x14ac:dyDescent="0.4">
      <c r="M790" s="66"/>
    </row>
    <row r="791" spans="13:13" x14ac:dyDescent="0.4">
      <c r="M791" s="66"/>
    </row>
    <row r="792" spans="13:13" x14ac:dyDescent="0.4">
      <c r="M792" s="66"/>
    </row>
    <row r="793" spans="13:13" x14ac:dyDescent="0.4">
      <c r="M793" s="66"/>
    </row>
    <row r="794" spans="13:13" x14ac:dyDescent="0.4">
      <c r="M794" s="66"/>
    </row>
    <row r="795" spans="13:13" x14ac:dyDescent="0.4">
      <c r="M795" s="66"/>
    </row>
    <row r="796" spans="13:13" x14ac:dyDescent="0.4">
      <c r="M796" s="66"/>
    </row>
    <row r="797" spans="13:13" x14ac:dyDescent="0.4">
      <c r="M797" s="66"/>
    </row>
    <row r="798" spans="13:13" x14ac:dyDescent="0.4">
      <c r="M798" s="66"/>
    </row>
    <row r="799" spans="13:13" x14ac:dyDescent="0.4">
      <c r="M799" s="66"/>
    </row>
    <row r="800" spans="13:13" x14ac:dyDescent="0.4">
      <c r="M800" s="66"/>
    </row>
    <row r="801" spans="13:13" x14ac:dyDescent="0.4">
      <c r="M801" s="66"/>
    </row>
    <row r="802" spans="13:13" x14ac:dyDescent="0.4">
      <c r="M802" s="66"/>
    </row>
    <row r="803" spans="13:13" x14ac:dyDescent="0.4">
      <c r="M803" s="66"/>
    </row>
    <row r="804" spans="13:13" x14ac:dyDescent="0.4">
      <c r="M804" s="66"/>
    </row>
    <row r="805" spans="13:13" x14ac:dyDescent="0.4">
      <c r="M805" s="66"/>
    </row>
    <row r="806" spans="13:13" x14ac:dyDescent="0.4">
      <c r="M806" s="66"/>
    </row>
    <row r="807" spans="13:13" x14ac:dyDescent="0.4">
      <c r="M807" s="66"/>
    </row>
    <row r="808" spans="13:13" x14ac:dyDescent="0.4">
      <c r="M808" s="66"/>
    </row>
    <row r="809" spans="13:13" x14ac:dyDescent="0.4">
      <c r="M809" s="66"/>
    </row>
    <row r="810" spans="13:13" x14ac:dyDescent="0.4">
      <c r="M810" s="66"/>
    </row>
    <row r="811" spans="13:13" x14ac:dyDescent="0.4">
      <c r="M811" s="66"/>
    </row>
    <row r="812" spans="13:13" x14ac:dyDescent="0.4">
      <c r="M812" s="66"/>
    </row>
    <row r="813" spans="13:13" x14ac:dyDescent="0.4">
      <c r="M813" s="66"/>
    </row>
    <row r="814" spans="13:13" x14ac:dyDescent="0.4">
      <c r="M814" s="66"/>
    </row>
    <row r="815" spans="13:13" x14ac:dyDescent="0.4">
      <c r="M815" s="66"/>
    </row>
    <row r="816" spans="13:13" x14ac:dyDescent="0.4">
      <c r="M816" s="66"/>
    </row>
    <row r="817" spans="13:13" x14ac:dyDescent="0.4">
      <c r="M817" s="66"/>
    </row>
    <row r="818" spans="13:13" x14ac:dyDescent="0.4">
      <c r="M818" s="66"/>
    </row>
    <row r="819" spans="13:13" x14ac:dyDescent="0.4">
      <c r="M819" s="66"/>
    </row>
    <row r="820" spans="13:13" x14ac:dyDescent="0.4">
      <c r="M820" s="66"/>
    </row>
    <row r="821" spans="13:13" x14ac:dyDescent="0.4">
      <c r="M821" s="66"/>
    </row>
    <row r="822" spans="13:13" x14ac:dyDescent="0.4">
      <c r="M822" s="66"/>
    </row>
    <row r="823" spans="13:13" x14ac:dyDescent="0.4">
      <c r="M823" s="66"/>
    </row>
    <row r="824" spans="13:13" x14ac:dyDescent="0.4">
      <c r="M824" s="66"/>
    </row>
    <row r="825" spans="13:13" x14ac:dyDescent="0.4">
      <c r="M825" s="66"/>
    </row>
    <row r="826" spans="13:13" x14ac:dyDescent="0.4">
      <c r="M826" s="66"/>
    </row>
    <row r="827" spans="13:13" x14ac:dyDescent="0.4">
      <c r="M827" s="66"/>
    </row>
    <row r="828" spans="13:13" x14ac:dyDescent="0.4">
      <c r="M828" s="66"/>
    </row>
    <row r="829" spans="13:13" x14ac:dyDescent="0.4">
      <c r="M829" s="66"/>
    </row>
    <row r="830" spans="13:13" x14ac:dyDescent="0.4">
      <c r="M830" s="66"/>
    </row>
    <row r="831" spans="13:13" x14ac:dyDescent="0.4">
      <c r="M831" s="66"/>
    </row>
    <row r="832" spans="13:13" x14ac:dyDescent="0.4">
      <c r="M832" s="66"/>
    </row>
    <row r="833" spans="13:13" x14ac:dyDescent="0.4">
      <c r="M833" s="66"/>
    </row>
    <row r="834" spans="13:13" x14ac:dyDescent="0.4">
      <c r="M834" s="66"/>
    </row>
    <row r="835" spans="13:13" x14ac:dyDescent="0.4">
      <c r="M835" s="66"/>
    </row>
    <row r="836" spans="13:13" x14ac:dyDescent="0.4">
      <c r="M836" s="66"/>
    </row>
    <row r="837" spans="13:13" x14ac:dyDescent="0.4">
      <c r="M837" s="66"/>
    </row>
    <row r="838" spans="13:13" x14ac:dyDescent="0.4">
      <c r="M838" s="66"/>
    </row>
    <row r="839" spans="13:13" x14ac:dyDescent="0.4">
      <c r="M839" s="66"/>
    </row>
    <row r="840" spans="13:13" x14ac:dyDescent="0.4">
      <c r="M840" s="66"/>
    </row>
    <row r="841" spans="13:13" x14ac:dyDescent="0.4">
      <c r="M841" s="66"/>
    </row>
    <row r="842" spans="13:13" x14ac:dyDescent="0.4">
      <c r="M842" s="66"/>
    </row>
    <row r="843" spans="13:13" x14ac:dyDescent="0.4">
      <c r="M843" s="66"/>
    </row>
    <row r="844" spans="13:13" x14ac:dyDescent="0.4">
      <c r="M844" s="66"/>
    </row>
    <row r="845" spans="13:13" x14ac:dyDescent="0.4">
      <c r="M845" s="66"/>
    </row>
    <row r="846" spans="13:13" x14ac:dyDescent="0.4">
      <c r="M846" s="66"/>
    </row>
    <row r="847" spans="13:13" x14ac:dyDescent="0.4">
      <c r="M847" s="66"/>
    </row>
    <row r="848" spans="13:13" x14ac:dyDescent="0.4">
      <c r="M848" s="66"/>
    </row>
    <row r="849" spans="13:13" x14ac:dyDescent="0.4">
      <c r="M849" s="66"/>
    </row>
    <row r="850" spans="13:13" x14ac:dyDescent="0.4">
      <c r="M850" s="66"/>
    </row>
    <row r="851" spans="13:13" x14ac:dyDescent="0.4">
      <c r="M851" s="66"/>
    </row>
    <row r="852" spans="13:13" x14ac:dyDescent="0.4">
      <c r="M852" s="66"/>
    </row>
    <row r="853" spans="13:13" x14ac:dyDescent="0.4">
      <c r="M853" s="66"/>
    </row>
    <row r="854" spans="13:13" x14ac:dyDescent="0.4">
      <c r="M854" s="66"/>
    </row>
    <row r="855" spans="13:13" x14ac:dyDescent="0.4">
      <c r="M855" s="66"/>
    </row>
    <row r="856" spans="13:13" x14ac:dyDescent="0.4">
      <c r="M856" s="66"/>
    </row>
    <row r="857" spans="13:13" x14ac:dyDescent="0.4">
      <c r="M857" s="66"/>
    </row>
    <row r="858" spans="13:13" x14ac:dyDescent="0.4">
      <c r="M858" s="66"/>
    </row>
    <row r="859" spans="13:13" x14ac:dyDescent="0.4">
      <c r="M859" s="66"/>
    </row>
    <row r="860" spans="13:13" x14ac:dyDescent="0.4">
      <c r="M860" s="66"/>
    </row>
    <row r="861" spans="13:13" x14ac:dyDescent="0.4">
      <c r="M861" s="66"/>
    </row>
    <row r="862" spans="13:13" x14ac:dyDescent="0.4">
      <c r="M862" s="66"/>
    </row>
    <row r="863" spans="13:13" x14ac:dyDescent="0.4">
      <c r="M863" s="66"/>
    </row>
    <row r="864" spans="13:13" x14ac:dyDescent="0.4">
      <c r="M864" s="66"/>
    </row>
    <row r="865" spans="13:13" x14ac:dyDescent="0.4">
      <c r="M865" s="66"/>
    </row>
    <row r="866" spans="13:13" x14ac:dyDescent="0.4">
      <c r="M866" s="66"/>
    </row>
    <row r="867" spans="13:13" x14ac:dyDescent="0.4">
      <c r="M867" s="66"/>
    </row>
    <row r="868" spans="13:13" x14ac:dyDescent="0.4">
      <c r="M868" s="66"/>
    </row>
    <row r="869" spans="13:13" x14ac:dyDescent="0.4">
      <c r="M869" s="66"/>
    </row>
    <row r="870" spans="13:13" x14ac:dyDescent="0.4">
      <c r="M870" s="66"/>
    </row>
    <row r="871" spans="13:13" x14ac:dyDescent="0.4">
      <c r="M871" s="66"/>
    </row>
    <row r="872" spans="13:13" x14ac:dyDescent="0.4">
      <c r="M872" s="66"/>
    </row>
    <row r="873" spans="13:13" x14ac:dyDescent="0.4">
      <c r="M873" s="66"/>
    </row>
    <row r="874" spans="13:13" x14ac:dyDescent="0.4">
      <c r="M874" s="66"/>
    </row>
    <row r="875" spans="13:13" x14ac:dyDescent="0.4">
      <c r="M875" s="66"/>
    </row>
    <row r="876" spans="13:13" x14ac:dyDescent="0.4">
      <c r="M876" s="66"/>
    </row>
    <row r="877" spans="13:13" x14ac:dyDescent="0.4">
      <c r="M877" s="66"/>
    </row>
    <row r="878" spans="13:13" x14ac:dyDescent="0.4">
      <c r="M878" s="66"/>
    </row>
    <row r="879" spans="13:13" x14ac:dyDescent="0.4">
      <c r="M879" s="66"/>
    </row>
    <row r="880" spans="13:13" x14ac:dyDescent="0.4">
      <c r="M880" s="66"/>
    </row>
    <row r="881" spans="13:13" x14ac:dyDescent="0.4">
      <c r="M881" s="66"/>
    </row>
    <row r="882" spans="13:13" x14ac:dyDescent="0.4">
      <c r="M882" s="66"/>
    </row>
    <row r="883" spans="13:13" x14ac:dyDescent="0.4">
      <c r="M883" s="66"/>
    </row>
    <row r="884" spans="13:13" x14ac:dyDescent="0.4">
      <c r="M884" s="66"/>
    </row>
    <row r="885" spans="13:13" x14ac:dyDescent="0.4">
      <c r="M885" s="66"/>
    </row>
    <row r="886" spans="13:13" x14ac:dyDescent="0.4">
      <c r="M886" s="66"/>
    </row>
    <row r="887" spans="13:13" x14ac:dyDescent="0.4">
      <c r="M887" s="66"/>
    </row>
    <row r="888" spans="13:13" x14ac:dyDescent="0.4">
      <c r="M888" s="66"/>
    </row>
    <row r="889" spans="13:13" x14ac:dyDescent="0.4">
      <c r="M889" s="66"/>
    </row>
    <row r="890" spans="13:13" x14ac:dyDescent="0.4">
      <c r="M890" s="66"/>
    </row>
    <row r="891" spans="13:13" x14ac:dyDescent="0.4">
      <c r="M891" s="66"/>
    </row>
    <row r="892" spans="13:13" x14ac:dyDescent="0.4">
      <c r="M892" s="66"/>
    </row>
    <row r="893" spans="13:13" x14ac:dyDescent="0.4">
      <c r="M893" s="66"/>
    </row>
    <row r="894" spans="13:13" x14ac:dyDescent="0.4">
      <c r="M894" s="66"/>
    </row>
    <row r="895" spans="13:13" x14ac:dyDescent="0.4">
      <c r="M895" s="66"/>
    </row>
    <row r="896" spans="13:13" x14ac:dyDescent="0.4">
      <c r="M896" s="66"/>
    </row>
    <row r="897" spans="13:13" x14ac:dyDescent="0.4">
      <c r="M897" s="66"/>
    </row>
    <row r="898" spans="13:13" x14ac:dyDescent="0.4">
      <c r="M898" s="66"/>
    </row>
    <row r="899" spans="13:13" x14ac:dyDescent="0.4">
      <c r="M899" s="66"/>
    </row>
    <row r="900" spans="13:13" x14ac:dyDescent="0.4">
      <c r="M900" s="66"/>
    </row>
    <row r="901" spans="13:13" x14ac:dyDescent="0.4">
      <c r="M901" s="66"/>
    </row>
    <row r="902" spans="13:13" x14ac:dyDescent="0.4">
      <c r="M902" s="66"/>
    </row>
    <row r="903" spans="13:13" x14ac:dyDescent="0.4">
      <c r="M903" s="66"/>
    </row>
    <row r="904" spans="13:13" x14ac:dyDescent="0.4">
      <c r="M904" s="66"/>
    </row>
    <row r="905" spans="13:13" x14ac:dyDescent="0.4">
      <c r="M905" s="66"/>
    </row>
    <row r="906" spans="13:13" x14ac:dyDescent="0.4">
      <c r="M906" s="66"/>
    </row>
    <row r="907" spans="13:13" x14ac:dyDescent="0.4">
      <c r="M907" s="66"/>
    </row>
    <row r="908" spans="13:13" x14ac:dyDescent="0.4">
      <c r="M908" s="66"/>
    </row>
    <row r="909" spans="13:13" x14ac:dyDescent="0.4">
      <c r="M909" s="66"/>
    </row>
    <row r="910" spans="13:13" x14ac:dyDescent="0.4">
      <c r="M910" s="66"/>
    </row>
    <row r="911" spans="13:13" x14ac:dyDescent="0.4">
      <c r="M911" s="66"/>
    </row>
    <row r="912" spans="13:13" x14ac:dyDescent="0.4">
      <c r="M912" s="66"/>
    </row>
    <row r="913" spans="13:13" x14ac:dyDescent="0.4">
      <c r="M913" s="66"/>
    </row>
    <row r="914" spans="13:13" x14ac:dyDescent="0.4">
      <c r="M914" s="66"/>
    </row>
    <row r="915" spans="13:13" x14ac:dyDescent="0.4">
      <c r="M915" s="66"/>
    </row>
    <row r="916" spans="13:13" x14ac:dyDescent="0.4">
      <c r="M916" s="66"/>
    </row>
    <row r="917" spans="13:13" x14ac:dyDescent="0.4">
      <c r="M917" s="66"/>
    </row>
    <row r="918" spans="13:13" x14ac:dyDescent="0.4">
      <c r="M918" s="66"/>
    </row>
    <row r="919" spans="13:13" x14ac:dyDescent="0.4">
      <c r="M919" s="66"/>
    </row>
    <row r="920" spans="13:13" x14ac:dyDescent="0.4">
      <c r="M920" s="66"/>
    </row>
    <row r="921" spans="13:13" x14ac:dyDescent="0.4">
      <c r="M921" s="66"/>
    </row>
    <row r="922" spans="13:13" x14ac:dyDescent="0.4">
      <c r="M922" s="66"/>
    </row>
    <row r="923" spans="13:13" x14ac:dyDescent="0.4">
      <c r="M923" s="66"/>
    </row>
    <row r="924" spans="13:13" x14ac:dyDescent="0.4">
      <c r="M924" s="66"/>
    </row>
    <row r="925" spans="13:13" x14ac:dyDescent="0.4">
      <c r="M925" s="66"/>
    </row>
    <row r="926" spans="13:13" x14ac:dyDescent="0.4">
      <c r="M926" s="66"/>
    </row>
    <row r="927" spans="13:13" x14ac:dyDescent="0.4">
      <c r="M927" s="66"/>
    </row>
    <row r="928" spans="13:13" x14ac:dyDescent="0.4">
      <c r="M928" s="66"/>
    </row>
    <row r="929" spans="13:13" x14ac:dyDescent="0.4">
      <c r="M929" s="66"/>
    </row>
    <row r="930" spans="13:13" x14ac:dyDescent="0.4">
      <c r="M930" s="66"/>
    </row>
    <row r="931" spans="13:13" x14ac:dyDescent="0.4">
      <c r="M931" s="66"/>
    </row>
    <row r="932" spans="13:13" x14ac:dyDescent="0.4">
      <c r="M932" s="66"/>
    </row>
    <row r="933" spans="13:13" x14ac:dyDescent="0.4">
      <c r="M933" s="66"/>
    </row>
    <row r="934" spans="13:13" x14ac:dyDescent="0.4">
      <c r="M934" s="66"/>
    </row>
    <row r="935" spans="13:13" x14ac:dyDescent="0.4">
      <c r="M935" s="66"/>
    </row>
    <row r="936" spans="13:13" x14ac:dyDescent="0.4">
      <c r="M936" s="66"/>
    </row>
    <row r="937" spans="13:13" x14ac:dyDescent="0.4">
      <c r="M937" s="66"/>
    </row>
    <row r="938" spans="13:13" x14ac:dyDescent="0.4">
      <c r="M938" s="66"/>
    </row>
    <row r="939" spans="13:13" x14ac:dyDescent="0.4">
      <c r="M939" s="66"/>
    </row>
    <row r="940" spans="13:13" x14ac:dyDescent="0.4">
      <c r="M940" s="66"/>
    </row>
    <row r="941" spans="13:13" x14ac:dyDescent="0.4">
      <c r="M941" s="66"/>
    </row>
    <row r="942" spans="13:13" x14ac:dyDescent="0.4">
      <c r="M942" s="66"/>
    </row>
    <row r="943" spans="13:13" x14ac:dyDescent="0.4">
      <c r="M943" s="66"/>
    </row>
    <row r="944" spans="13:13" x14ac:dyDescent="0.4">
      <c r="M944" s="66"/>
    </row>
    <row r="945" spans="13:13" x14ac:dyDescent="0.4">
      <c r="M945" s="66"/>
    </row>
    <row r="946" spans="13:13" x14ac:dyDescent="0.4">
      <c r="M946" s="66"/>
    </row>
    <row r="947" spans="13:13" x14ac:dyDescent="0.4">
      <c r="M947" s="66"/>
    </row>
    <row r="948" spans="13:13" x14ac:dyDescent="0.4">
      <c r="M948" s="66"/>
    </row>
    <row r="949" spans="13:13" x14ac:dyDescent="0.4">
      <c r="M949" s="66"/>
    </row>
    <row r="950" spans="13:13" x14ac:dyDescent="0.4">
      <c r="M950" s="66"/>
    </row>
    <row r="951" spans="13:13" x14ac:dyDescent="0.4">
      <c r="M951" s="66"/>
    </row>
    <row r="952" spans="13:13" x14ac:dyDescent="0.4">
      <c r="M952" s="66"/>
    </row>
    <row r="953" spans="13:13" x14ac:dyDescent="0.4">
      <c r="M953" s="66"/>
    </row>
    <row r="954" spans="13:13" x14ac:dyDescent="0.4">
      <c r="M954" s="66"/>
    </row>
    <row r="955" spans="13:13" x14ac:dyDescent="0.4">
      <c r="M955" s="66"/>
    </row>
    <row r="956" spans="13:13" x14ac:dyDescent="0.4">
      <c r="M956" s="66"/>
    </row>
    <row r="957" spans="13:13" x14ac:dyDescent="0.4">
      <c r="M957" s="66"/>
    </row>
    <row r="958" spans="13:13" x14ac:dyDescent="0.4">
      <c r="M958" s="66"/>
    </row>
    <row r="959" spans="13:13" x14ac:dyDescent="0.4">
      <c r="M959" s="66"/>
    </row>
    <row r="960" spans="13:13" x14ac:dyDescent="0.4">
      <c r="M960" s="66"/>
    </row>
    <row r="961" spans="13:13" x14ac:dyDescent="0.4">
      <c r="M961" s="66"/>
    </row>
    <row r="962" spans="13:13" x14ac:dyDescent="0.4">
      <c r="M962" s="66"/>
    </row>
    <row r="963" spans="13:13" x14ac:dyDescent="0.4">
      <c r="M963" s="66"/>
    </row>
    <row r="964" spans="13:13" x14ac:dyDescent="0.4">
      <c r="M964" s="66"/>
    </row>
    <row r="965" spans="13:13" x14ac:dyDescent="0.4">
      <c r="M965" s="66"/>
    </row>
    <row r="966" spans="13:13" x14ac:dyDescent="0.4">
      <c r="M966" s="66"/>
    </row>
    <row r="967" spans="13:13" x14ac:dyDescent="0.4">
      <c r="M967" s="66"/>
    </row>
    <row r="968" spans="13:13" x14ac:dyDescent="0.4">
      <c r="M968" s="66"/>
    </row>
    <row r="969" spans="13:13" x14ac:dyDescent="0.4">
      <c r="M969" s="66"/>
    </row>
    <row r="970" spans="13:13" x14ac:dyDescent="0.4">
      <c r="M970" s="66"/>
    </row>
    <row r="971" spans="13:13" x14ac:dyDescent="0.4">
      <c r="M971" s="66"/>
    </row>
    <row r="972" spans="13:13" x14ac:dyDescent="0.4">
      <c r="M972" s="66"/>
    </row>
    <row r="973" spans="13:13" x14ac:dyDescent="0.4">
      <c r="M973" s="66"/>
    </row>
    <row r="974" spans="13:13" x14ac:dyDescent="0.4">
      <c r="M974" s="66"/>
    </row>
    <row r="975" spans="13:13" x14ac:dyDescent="0.4">
      <c r="M975" s="66"/>
    </row>
    <row r="976" spans="13:13" x14ac:dyDescent="0.4">
      <c r="M976" s="66"/>
    </row>
    <row r="977" spans="13:13" x14ac:dyDescent="0.4">
      <c r="M977" s="66"/>
    </row>
    <row r="978" spans="13:13" x14ac:dyDescent="0.4">
      <c r="M978" s="66"/>
    </row>
    <row r="979" spans="13:13" x14ac:dyDescent="0.4">
      <c r="M979" s="66"/>
    </row>
    <row r="980" spans="13:13" x14ac:dyDescent="0.4">
      <c r="M980" s="66"/>
    </row>
    <row r="981" spans="13:13" x14ac:dyDescent="0.4">
      <c r="M981" s="66"/>
    </row>
    <row r="982" spans="13:13" x14ac:dyDescent="0.4">
      <c r="M982" s="66"/>
    </row>
    <row r="983" spans="13:13" x14ac:dyDescent="0.4">
      <c r="M983" s="66"/>
    </row>
    <row r="984" spans="13:13" x14ac:dyDescent="0.4">
      <c r="M984" s="66"/>
    </row>
    <row r="985" spans="13:13" x14ac:dyDescent="0.4">
      <c r="M985" s="66"/>
    </row>
    <row r="986" spans="13:13" x14ac:dyDescent="0.4">
      <c r="M986" s="66"/>
    </row>
    <row r="987" spans="13:13" x14ac:dyDescent="0.4">
      <c r="M987" s="66"/>
    </row>
    <row r="988" spans="13:13" x14ac:dyDescent="0.4">
      <c r="M988" s="66"/>
    </row>
    <row r="989" spans="13:13" x14ac:dyDescent="0.4">
      <c r="M989" s="66"/>
    </row>
    <row r="990" spans="13:13" x14ac:dyDescent="0.4">
      <c r="M990" s="66"/>
    </row>
    <row r="991" spans="13:13" x14ac:dyDescent="0.4">
      <c r="M991" s="66"/>
    </row>
    <row r="992" spans="13:13" x14ac:dyDescent="0.4">
      <c r="M992" s="66"/>
    </row>
    <row r="993" spans="13:13" x14ac:dyDescent="0.4">
      <c r="M993" s="66"/>
    </row>
    <row r="994" spans="13:13" x14ac:dyDescent="0.4">
      <c r="M994" s="66"/>
    </row>
    <row r="995" spans="13:13" x14ac:dyDescent="0.4">
      <c r="M995" s="66"/>
    </row>
    <row r="996" spans="13:13" x14ac:dyDescent="0.4">
      <c r="M996" s="66"/>
    </row>
    <row r="997" spans="13:13" x14ac:dyDescent="0.4">
      <c r="M997" s="66"/>
    </row>
    <row r="998" spans="13:13" x14ac:dyDescent="0.4">
      <c r="M998" s="66"/>
    </row>
    <row r="999" spans="13:13" x14ac:dyDescent="0.4">
      <c r="M999" s="66"/>
    </row>
    <row r="1000" spans="13:13" x14ac:dyDescent="0.4">
      <c r="M1000" s="66"/>
    </row>
    <row r="1001" spans="13:13" x14ac:dyDescent="0.4">
      <c r="M1001" s="66"/>
    </row>
    <row r="1002" spans="13:13" x14ac:dyDescent="0.4">
      <c r="M1002" s="66"/>
    </row>
    <row r="1003" spans="13:13" x14ac:dyDescent="0.4">
      <c r="M1003" s="66"/>
    </row>
    <row r="1004" spans="13:13" x14ac:dyDescent="0.4">
      <c r="M1004" s="66"/>
    </row>
    <row r="1005" spans="13:13" x14ac:dyDescent="0.4">
      <c r="M1005" s="66"/>
    </row>
    <row r="1006" spans="13:13" x14ac:dyDescent="0.4">
      <c r="M1006" s="66"/>
    </row>
    <row r="1007" spans="13:13" x14ac:dyDescent="0.4">
      <c r="M1007" s="66"/>
    </row>
    <row r="1008" spans="13:13" x14ac:dyDescent="0.4">
      <c r="M1008" s="66"/>
    </row>
    <row r="1009" spans="13:13" x14ac:dyDescent="0.4">
      <c r="M1009" s="66"/>
    </row>
    <row r="1010" spans="13:13" x14ac:dyDescent="0.4">
      <c r="M1010" s="66"/>
    </row>
    <row r="1011" spans="13:13" x14ac:dyDescent="0.4">
      <c r="M1011" s="66"/>
    </row>
    <row r="1012" spans="13:13" x14ac:dyDescent="0.4">
      <c r="M1012" s="66"/>
    </row>
    <row r="1013" spans="13:13" x14ac:dyDescent="0.4">
      <c r="M1013" s="66"/>
    </row>
    <row r="1014" spans="13:13" x14ac:dyDescent="0.4">
      <c r="M1014" s="66"/>
    </row>
    <row r="1015" spans="13:13" x14ac:dyDescent="0.4">
      <c r="M1015" s="66"/>
    </row>
    <row r="1016" spans="13:13" x14ac:dyDescent="0.4">
      <c r="M1016" s="66"/>
    </row>
    <row r="1017" spans="13:13" x14ac:dyDescent="0.4">
      <c r="M1017" s="66"/>
    </row>
    <row r="1018" spans="13:13" x14ac:dyDescent="0.4">
      <c r="M1018" s="66"/>
    </row>
    <row r="1019" spans="13:13" x14ac:dyDescent="0.4">
      <c r="M1019" s="66"/>
    </row>
    <row r="1020" spans="13:13" x14ac:dyDescent="0.4">
      <c r="M1020" s="66"/>
    </row>
    <row r="1021" spans="13:13" x14ac:dyDescent="0.4">
      <c r="M1021" s="66"/>
    </row>
    <row r="1022" spans="13:13" x14ac:dyDescent="0.4">
      <c r="M1022" s="66"/>
    </row>
    <row r="1023" spans="13:13" x14ac:dyDescent="0.4">
      <c r="M1023" s="66"/>
    </row>
    <row r="1024" spans="13:13" x14ac:dyDescent="0.4">
      <c r="M1024" s="66"/>
    </row>
    <row r="1025" spans="13:13" x14ac:dyDescent="0.4">
      <c r="M1025" s="66"/>
    </row>
    <row r="1026" spans="13:13" x14ac:dyDescent="0.4">
      <c r="M1026" s="66"/>
    </row>
    <row r="1027" spans="13:13" x14ac:dyDescent="0.4">
      <c r="M1027" s="66"/>
    </row>
    <row r="1028" spans="13:13" x14ac:dyDescent="0.4">
      <c r="M1028" s="66"/>
    </row>
    <row r="1029" spans="13:13" x14ac:dyDescent="0.4">
      <c r="M1029" s="66"/>
    </row>
    <row r="1030" spans="13:13" x14ac:dyDescent="0.4">
      <c r="M1030" s="66"/>
    </row>
    <row r="1031" spans="13:13" x14ac:dyDescent="0.4">
      <c r="M1031" s="66"/>
    </row>
    <row r="1032" spans="13:13" x14ac:dyDescent="0.4">
      <c r="M1032" s="66"/>
    </row>
    <row r="1033" spans="13:13" x14ac:dyDescent="0.4">
      <c r="M1033" s="66"/>
    </row>
    <row r="1034" spans="13:13" x14ac:dyDescent="0.4">
      <c r="M1034" s="66"/>
    </row>
    <row r="1035" spans="13:13" x14ac:dyDescent="0.4">
      <c r="M1035" s="66"/>
    </row>
    <row r="1036" spans="13:13" x14ac:dyDescent="0.4">
      <c r="M1036" s="66"/>
    </row>
    <row r="1037" spans="13:13" x14ac:dyDescent="0.4">
      <c r="M1037" s="66"/>
    </row>
    <row r="1038" spans="13:13" x14ac:dyDescent="0.4">
      <c r="M1038" s="66"/>
    </row>
    <row r="1039" spans="13:13" x14ac:dyDescent="0.4">
      <c r="M1039" s="66"/>
    </row>
  </sheetData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M48"/>
  <sheetViews>
    <sheetView showGridLines="0" zoomScale="75" zoomScaleNormal="75" workbookViewId="0">
      <selection activeCell="G32" sqref="G32"/>
    </sheetView>
  </sheetViews>
  <sheetFormatPr baseColWidth="10" defaultRowHeight="14.4" x14ac:dyDescent="0.3"/>
  <cols>
    <col min="1" max="1" width="7.5546875" customWidth="1"/>
    <col min="2" max="2" width="56" customWidth="1"/>
    <col min="4" max="4" width="12.44140625" bestFit="1" customWidth="1"/>
    <col min="9" max="9" width="54.6640625" customWidth="1"/>
    <col min="11" max="11" width="12.44140625" bestFit="1" customWidth="1"/>
  </cols>
  <sheetData>
    <row r="2" spans="2:13" ht="21" x14ac:dyDescent="0.4">
      <c r="B2" s="403" t="s">
        <v>258</v>
      </c>
      <c r="I2" s="403" t="s">
        <v>258</v>
      </c>
    </row>
    <row r="3" spans="2:13" x14ac:dyDescent="0.3">
      <c r="B3" s="421" t="s">
        <v>252</v>
      </c>
      <c r="I3" s="421" t="s">
        <v>260</v>
      </c>
    </row>
    <row r="4" spans="2:13" x14ac:dyDescent="0.3">
      <c r="B4" s="404"/>
      <c r="C4" s="405"/>
      <c r="D4" s="405"/>
      <c r="E4" s="405"/>
      <c r="F4" s="406"/>
      <c r="I4" s="404"/>
      <c r="J4" s="405"/>
      <c r="K4" s="405"/>
      <c r="L4" s="405"/>
      <c r="M4" s="406"/>
    </row>
    <row r="5" spans="2:13" x14ac:dyDescent="0.3">
      <c r="B5" s="407" t="s">
        <v>256</v>
      </c>
      <c r="C5" s="410">
        <v>205</v>
      </c>
      <c r="D5" t="s">
        <v>44</v>
      </c>
      <c r="E5" s="408">
        <v>667180</v>
      </c>
      <c r="F5" s="409" t="s">
        <v>239</v>
      </c>
      <c r="I5" s="407" t="s">
        <v>256</v>
      </c>
      <c r="J5" s="410">
        <v>205</v>
      </c>
      <c r="K5" t="s">
        <v>44</v>
      </c>
      <c r="L5" s="408">
        <v>667180</v>
      </c>
      <c r="M5" s="409" t="s">
        <v>239</v>
      </c>
    </row>
    <row r="6" spans="2:13" x14ac:dyDescent="0.3">
      <c r="B6" s="407"/>
      <c r="E6" s="401"/>
      <c r="F6" s="409"/>
      <c r="I6" s="407"/>
      <c r="L6" s="401"/>
      <c r="M6" s="409"/>
    </row>
    <row r="7" spans="2:13" x14ac:dyDescent="0.3">
      <c r="B7" s="407" t="s">
        <v>257</v>
      </c>
      <c r="C7" s="410">
        <v>45</v>
      </c>
      <c r="D7" t="s">
        <v>44</v>
      </c>
      <c r="E7" s="401">
        <f>C7*1000</f>
        <v>45000</v>
      </c>
      <c r="F7" s="409" t="s">
        <v>239</v>
      </c>
      <c r="I7" s="407" t="s">
        <v>257</v>
      </c>
      <c r="J7" s="423">
        <f>C7+30</f>
        <v>75</v>
      </c>
      <c r="K7" t="s">
        <v>44</v>
      </c>
      <c r="L7" s="401">
        <f>J7*1000</f>
        <v>75000</v>
      </c>
      <c r="M7" s="409" t="s">
        <v>239</v>
      </c>
    </row>
    <row r="8" spans="2:13" x14ac:dyDescent="0.3">
      <c r="B8" s="407"/>
      <c r="E8" s="401"/>
      <c r="F8" s="409"/>
      <c r="I8" s="407"/>
      <c r="L8" s="401"/>
      <c r="M8" s="409"/>
    </row>
    <row r="9" spans="2:13" x14ac:dyDescent="0.3">
      <c r="B9" s="407" t="s">
        <v>238</v>
      </c>
      <c r="E9" s="401">
        <f>E5-E7</f>
        <v>622180</v>
      </c>
      <c r="F9" s="409" t="s">
        <v>239</v>
      </c>
      <c r="I9" s="407" t="s">
        <v>238</v>
      </c>
      <c r="L9" s="401">
        <f>L5-L7</f>
        <v>592180</v>
      </c>
      <c r="M9" s="409" t="s">
        <v>239</v>
      </c>
    </row>
    <row r="10" spans="2:13" x14ac:dyDescent="0.3">
      <c r="B10" s="407"/>
      <c r="E10" s="401"/>
      <c r="F10" s="409"/>
      <c r="I10" s="407"/>
      <c r="L10" s="401"/>
      <c r="M10" s="409"/>
    </row>
    <row r="11" spans="2:13" x14ac:dyDescent="0.3">
      <c r="B11" s="407" t="s">
        <v>247</v>
      </c>
      <c r="C11" s="410">
        <v>0.86</v>
      </c>
      <c r="E11" s="401">
        <f>E9/C11</f>
        <v>723465.1162790698</v>
      </c>
      <c r="F11" s="409" t="s">
        <v>239</v>
      </c>
      <c r="I11" s="407" t="s">
        <v>247</v>
      </c>
      <c r="J11" s="410">
        <v>0.86</v>
      </c>
      <c r="L11" s="401">
        <f>L9/J11</f>
        <v>688581.39534883725</v>
      </c>
      <c r="M11" s="409" t="s">
        <v>239</v>
      </c>
    </row>
    <row r="12" spans="2:13" x14ac:dyDescent="0.3">
      <c r="B12" s="407"/>
      <c r="F12" s="409"/>
      <c r="I12" s="407"/>
      <c r="M12" s="409"/>
    </row>
    <row r="13" spans="2:13" x14ac:dyDescent="0.3">
      <c r="B13" s="422" t="s">
        <v>249</v>
      </c>
      <c r="C13" s="410">
        <v>860</v>
      </c>
      <c r="D13" t="s">
        <v>248</v>
      </c>
      <c r="E13" s="411">
        <f>E11/C13</f>
        <v>841.238507301244</v>
      </c>
      <c r="F13" s="409" t="s">
        <v>275</v>
      </c>
      <c r="I13" s="422" t="s">
        <v>249</v>
      </c>
      <c r="J13" s="410">
        <v>860</v>
      </c>
      <c r="K13" t="s">
        <v>248</v>
      </c>
      <c r="L13" s="411">
        <f>L11/J13</f>
        <v>800.6760411032991</v>
      </c>
      <c r="M13" s="409" t="s">
        <v>275</v>
      </c>
    </row>
    <row r="14" spans="2:13" x14ac:dyDescent="0.3">
      <c r="B14" s="407"/>
      <c r="F14" s="409"/>
      <c r="I14" s="407"/>
      <c r="M14" s="409"/>
    </row>
    <row r="15" spans="2:13" x14ac:dyDescent="0.3">
      <c r="B15" s="407" t="s">
        <v>259</v>
      </c>
      <c r="C15" s="410">
        <v>9.9499999999999993</v>
      </c>
      <c r="D15" t="s">
        <v>273</v>
      </c>
      <c r="E15" s="411">
        <f>E13/C15</f>
        <v>84.546583648366237</v>
      </c>
      <c r="F15" s="409" t="s">
        <v>241</v>
      </c>
      <c r="I15" s="407" t="s">
        <v>259</v>
      </c>
      <c r="J15" s="410">
        <v>9.9499999999999993</v>
      </c>
      <c r="K15" t="s">
        <v>273</v>
      </c>
      <c r="L15" s="411">
        <f>L13/J15</f>
        <v>80.469953879728564</v>
      </c>
      <c r="M15" s="409" t="s">
        <v>241</v>
      </c>
    </row>
    <row r="16" spans="2:13" x14ac:dyDescent="0.3">
      <c r="B16" s="407"/>
      <c r="F16" s="409"/>
      <c r="I16" s="407"/>
      <c r="M16" s="409"/>
    </row>
    <row r="17" spans="2:13" x14ac:dyDescent="0.3">
      <c r="B17" s="416" t="s">
        <v>272</v>
      </c>
      <c r="C17" s="419">
        <v>11</v>
      </c>
      <c r="D17" s="412" t="s">
        <v>274</v>
      </c>
      <c r="E17" s="417">
        <f>E13/C15*C17</f>
        <v>930.01242013202864</v>
      </c>
      <c r="F17" s="418" t="s">
        <v>276</v>
      </c>
      <c r="I17" s="416" t="s">
        <v>250</v>
      </c>
      <c r="J17" s="419">
        <v>11</v>
      </c>
      <c r="K17" s="412" t="s">
        <v>274</v>
      </c>
      <c r="L17" s="417">
        <f>L13/J15*J17</f>
        <v>885.1694926770142</v>
      </c>
      <c r="M17" s="418" t="s">
        <v>276</v>
      </c>
    </row>
    <row r="18" spans="2:13" x14ac:dyDescent="0.3">
      <c r="B18" s="416"/>
      <c r="C18" s="412"/>
      <c r="D18" s="412"/>
      <c r="E18" s="417"/>
      <c r="F18" s="418"/>
      <c r="I18" s="416"/>
      <c r="J18" s="412"/>
      <c r="K18" s="412"/>
      <c r="L18" s="417"/>
      <c r="M18" s="418"/>
    </row>
    <row r="19" spans="2:13" x14ac:dyDescent="0.3">
      <c r="B19" s="407" t="s">
        <v>253</v>
      </c>
      <c r="C19" s="430">
        <v>205</v>
      </c>
      <c r="D19" s="412" t="s">
        <v>254</v>
      </c>
      <c r="E19" s="411">
        <f>(E13*C19)/1000</f>
        <v>172.453893996755</v>
      </c>
      <c r="F19" s="409" t="s">
        <v>255</v>
      </c>
      <c r="I19" s="407" t="s">
        <v>253</v>
      </c>
      <c r="J19" s="430">
        <v>205</v>
      </c>
      <c r="K19" s="412" t="s">
        <v>254</v>
      </c>
      <c r="L19" s="411">
        <f>(L13*J19)/1000</f>
        <v>164.13858842617631</v>
      </c>
      <c r="M19" s="409" t="s">
        <v>255</v>
      </c>
    </row>
    <row r="20" spans="2:13" x14ac:dyDescent="0.3">
      <c r="B20" s="407"/>
      <c r="C20" s="412"/>
      <c r="D20" s="412"/>
      <c r="E20" s="411"/>
      <c r="F20" s="409"/>
      <c r="I20" s="407"/>
      <c r="J20" s="412"/>
      <c r="K20" s="412"/>
      <c r="L20" s="411"/>
      <c r="M20" s="409"/>
    </row>
    <row r="21" spans="2:13" x14ac:dyDescent="0.3">
      <c r="B21" s="407" t="s">
        <v>271</v>
      </c>
      <c r="C21" s="412"/>
      <c r="D21" s="412"/>
      <c r="E21" s="419">
        <v>33</v>
      </c>
      <c r="F21" s="409" t="s">
        <v>243</v>
      </c>
      <c r="I21" s="407" t="s">
        <v>242</v>
      </c>
      <c r="J21" s="412"/>
      <c r="K21" s="412"/>
      <c r="L21" s="419">
        <v>33</v>
      </c>
      <c r="M21" s="409" t="s">
        <v>243</v>
      </c>
    </row>
    <row r="22" spans="2:13" x14ac:dyDescent="0.3">
      <c r="B22" s="416"/>
      <c r="C22" s="412"/>
      <c r="D22" s="412"/>
      <c r="E22" s="420"/>
      <c r="F22" s="418"/>
      <c r="I22" s="416"/>
      <c r="J22" s="412"/>
      <c r="K22" s="412"/>
      <c r="L22" s="420"/>
      <c r="M22" s="418"/>
    </row>
    <row r="23" spans="2:13" x14ac:dyDescent="0.3">
      <c r="B23" s="407" t="s">
        <v>244</v>
      </c>
      <c r="C23" s="412"/>
      <c r="D23" s="412"/>
      <c r="E23" s="412">
        <f>E17*E21/1000</f>
        <v>30.690409864356944</v>
      </c>
      <c r="F23" s="409" t="s">
        <v>245</v>
      </c>
      <c r="I23" s="407" t="s">
        <v>244</v>
      </c>
      <c r="J23" s="412"/>
      <c r="K23" s="412"/>
      <c r="L23" s="412">
        <f>L17*L21/1000</f>
        <v>29.210593258341468</v>
      </c>
      <c r="M23" s="409" t="s">
        <v>245</v>
      </c>
    </row>
    <row r="24" spans="2:13" x14ac:dyDescent="0.3">
      <c r="B24" s="407"/>
      <c r="C24" s="412"/>
      <c r="D24" s="412"/>
      <c r="E24" s="411"/>
      <c r="F24" s="409"/>
      <c r="I24" s="407"/>
      <c r="J24" s="412"/>
      <c r="K24" s="412"/>
      <c r="L24" s="411"/>
      <c r="M24" s="409"/>
    </row>
    <row r="25" spans="2:13" x14ac:dyDescent="0.3">
      <c r="B25" s="407" t="s">
        <v>262</v>
      </c>
      <c r="C25" s="412"/>
      <c r="D25" s="412"/>
      <c r="E25" s="419">
        <v>0.5</v>
      </c>
      <c r="F25" s="409" t="s">
        <v>245</v>
      </c>
      <c r="I25" s="407" t="s">
        <v>262</v>
      </c>
      <c r="J25" s="412"/>
      <c r="K25" s="412"/>
      <c r="L25" s="419">
        <v>0.5</v>
      </c>
      <c r="M25" s="409" t="s">
        <v>245</v>
      </c>
    </row>
    <row r="26" spans="2:13" x14ac:dyDescent="0.3">
      <c r="B26" s="407"/>
      <c r="C26" s="412"/>
      <c r="D26" s="412"/>
      <c r="E26" s="412"/>
      <c r="F26" s="409"/>
      <c r="I26" s="407"/>
      <c r="J26" s="412"/>
      <c r="K26" s="412"/>
      <c r="L26" s="412"/>
      <c r="M26" s="409"/>
    </row>
    <row r="27" spans="2:13" x14ac:dyDescent="0.3">
      <c r="B27" s="416" t="s">
        <v>246</v>
      </c>
      <c r="C27" s="420"/>
      <c r="D27" s="420"/>
      <c r="E27" s="420">
        <f>E23+E25</f>
        <v>31.190409864356944</v>
      </c>
      <c r="F27" s="418" t="s">
        <v>245</v>
      </c>
      <c r="I27" s="416" t="s">
        <v>246</v>
      </c>
      <c r="J27" s="420"/>
      <c r="K27" s="420"/>
      <c r="L27" s="420">
        <f>L23+L25</f>
        <v>29.710593258341468</v>
      </c>
      <c r="M27" s="418" t="s">
        <v>245</v>
      </c>
    </row>
    <row r="28" spans="2:13" x14ac:dyDescent="0.3">
      <c r="B28" s="413"/>
      <c r="C28" s="414"/>
      <c r="D28" s="414"/>
      <c r="E28" s="414"/>
      <c r="F28" s="415"/>
      <c r="I28" s="407"/>
      <c r="M28" s="409"/>
    </row>
    <row r="29" spans="2:13" x14ac:dyDescent="0.3">
      <c r="I29" s="422" t="s">
        <v>261</v>
      </c>
      <c r="J29" s="421"/>
      <c r="K29" s="421"/>
      <c r="L29" s="424">
        <f>E27-L27</f>
        <v>1.4798166060154756</v>
      </c>
      <c r="M29" s="425" t="s">
        <v>245</v>
      </c>
    </row>
    <row r="30" spans="2:13" x14ac:dyDescent="0.3">
      <c r="B30" s="402" t="s">
        <v>240</v>
      </c>
      <c r="I30" s="413"/>
      <c r="J30" s="414"/>
      <c r="K30" s="414"/>
      <c r="L30" s="414"/>
      <c r="M30" s="415"/>
    </row>
    <row r="31" spans="2:13" x14ac:dyDescent="0.3">
      <c r="I31" s="402"/>
    </row>
    <row r="35" spans="2:2" x14ac:dyDescent="0.3">
      <c r="B35" s="366" t="s">
        <v>186</v>
      </c>
    </row>
    <row r="36" spans="2:2" x14ac:dyDescent="0.3">
      <c r="B36" s="367" t="s">
        <v>215</v>
      </c>
    </row>
    <row r="37" spans="2:2" x14ac:dyDescent="0.3">
      <c r="B37" s="367" t="s">
        <v>216</v>
      </c>
    </row>
    <row r="38" spans="2:2" x14ac:dyDescent="0.3">
      <c r="B38" s="372" t="s">
        <v>217</v>
      </c>
    </row>
    <row r="39" spans="2:2" x14ac:dyDescent="0.3">
      <c r="B39" s="368"/>
    </row>
    <row r="40" spans="2:2" x14ac:dyDescent="0.3">
      <c r="B40" s="371" t="s">
        <v>220</v>
      </c>
    </row>
    <row r="41" spans="2:2" x14ac:dyDescent="0.3">
      <c r="B41" s="367" t="s">
        <v>222</v>
      </c>
    </row>
    <row r="42" spans="2:2" ht="16.2" x14ac:dyDescent="0.35">
      <c r="B42" s="370" t="s">
        <v>228</v>
      </c>
    </row>
    <row r="43" spans="2:2" ht="16.8" x14ac:dyDescent="0.3">
      <c r="B43" s="370" t="s">
        <v>227</v>
      </c>
    </row>
    <row r="44" spans="2:2" x14ac:dyDescent="0.3">
      <c r="B44" s="369" t="s">
        <v>223</v>
      </c>
    </row>
    <row r="45" spans="2:2" x14ac:dyDescent="0.3">
      <c r="B45" s="77" t="s">
        <v>224</v>
      </c>
    </row>
    <row r="46" spans="2:2" x14ac:dyDescent="0.3">
      <c r="B46" s="77" t="s">
        <v>225</v>
      </c>
    </row>
    <row r="47" spans="2:2" x14ac:dyDescent="0.3">
      <c r="B47" s="77" t="s">
        <v>226</v>
      </c>
    </row>
    <row r="48" spans="2:2" x14ac:dyDescent="0.3">
      <c r="B48" s="368" t="s">
        <v>221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Melange</vt:lpstr>
      <vt:lpstr>LV</vt:lpstr>
      <vt:lpstr>T1tps gaz</vt:lpstr>
      <vt:lpstr>Formules</vt:lpstr>
      <vt:lpstr>Diagramme psychro -10 à +40°C</vt:lpstr>
      <vt:lpstr>Air humide</vt:lpstr>
      <vt:lpstr>Vapeur</vt:lpstr>
      <vt:lpstr>cta</vt:lpstr>
      <vt:lpstr>f</vt:lpstr>
      <vt:lpstr>h</vt:lpstr>
      <vt:lpstr>t</vt:lpstr>
      <vt:lpstr>v</vt:lpstr>
      <vt:lpstr>'Diagramme psychro -10 à +40°C'!Zone_d_impression</vt:lpstr>
      <vt:lpstr>Formules!Zone_d_impression</vt:lpstr>
      <vt:lpstr>LV!Zone_d_impression</vt:lpstr>
      <vt:lpstr>Melange!Zone_d_impression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Gilles VALOT</cp:lastModifiedBy>
  <cp:lastPrinted>2019-02-15T17:06:14Z</cp:lastPrinted>
  <dcterms:created xsi:type="dcterms:W3CDTF">2012-10-22T15:19:33Z</dcterms:created>
  <dcterms:modified xsi:type="dcterms:W3CDTF">2023-07-24T23:46:38Z</dcterms:modified>
</cp:coreProperties>
</file>